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MIS DATOS\DOCS EN EDICIÓN\"/>
    </mc:Choice>
  </mc:AlternateContent>
  <bookViews>
    <workbookView xWindow="0" yWindow="0" windowWidth="20490" windowHeight="7740"/>
  </bookViews>
  <sheets>
    <sheet name="Cálculos conductor cobre" sheetId="1" r:id="rId1"/>
    <sheet name="LEEME" sheetId="3" r:id="rId2"/>
  </sheets>
  <definedNames>
    <definedName name="_xlnm.Print_Area" localSheetId="0">'Cálculos conductor cobre'!$A$3:$I$109</definedName>
    <definedName name="_xlnm.Print_Area" localSheetId="1">LEEME!$A$1:$J$62</definedName>
    <definedName name="caida_tension" localSheetId="1">LEEME!#REF!</definedName>
    <definedName name="caida_tension">'Cálculos conductor cobre'!$E$21</definedName>
    <definedName name="dens_aislante" localSheetId="1">LEEME!#REF!</definedName>
    <definedName name="dens_aislante">'Cálculos conductor cobre'!$E$7</definedName>
    <definedName name="dens_cobre" localSheetId="1">LEEME!#REF!</definedName>
    <definedName name="dens_cobre">'Cálculos conductor cobre'!$E$5</definedName>
    <definedName name="diam_aislante" localSheetId="1">LEEME!#REF!</definedName>
    <definedName name="diam_aislante">'Cálculos conductor cobre'!$E$10</definedName>
    <definedName name="diam_cobre" localSheetId="1">LEEME!#REF!</definedName>
    <definedName name="diam_cobre">'Cálculos conductor cobre'!$E$16</definedName>
    <definedName name="Intensidad" localSheetId="1">LEEME!#REF!</definedName>
    <definedName name="Intensidad">'Cálculos conductor cobre'!$E$11</definedName>
    <definedName name="lista_secciones">'Cálculos conductor cobre'!$M$19:$N$28</definedName>
    <definedName name="longitud" localSheetId="1">LEEME!#REF!</definedName>
    <definedName name="longitud">'Cálculos conductor cobre'!$E$8</definedName>
    <definedName name="peso_aislante" localSheetId="1">LEEME!#REF!</definedName>
    <definedName name="peso_aislante">'Cálculos conductor cobre'!$E$18</definedName>
    <definedName name="peso_cobre" localSheetId="1">LEEME!#REF!</definedName>
    <definedName name="peso_cobre">'Cálculos conductor cobre'!$E$17</definedName>
    <definedName name="potencia_entrada" localSheetId="1">LEEME!#REF!</definedName>
    <definedName name="potencia_entrada">'Cálculos conductor cobre'!$E$20</definedName>
    <definedName name="potencia_perdida" localSheetId="1">LEEME!#REF!</definedName>
    <definedName name="potencia_perdida">'Cálculos conductor cobre'!$E$22</definedName>
    <definedName name="relac_diámetros" localSheetId="1">LEEME!#REF!</definedName>
    <definedName name="relac_diámetros">'Cálculos conductor cobre'!$M$10</definedName>
    <definedName name="res_cobre" localSheetId="1">LEEME!#REF!</definedName>
    <definedName name="res_cobre">'Cálculos conductor cobre'!$E$6</definedName>
    <definedName name="Resistencia" localSheetId="1">LEEME!#REF!</definedName>
    <definedName name="Resistencia">'Cálculos conductor cobre'!$E$14</definedName>
    <definedName name="seccion_cobre" localSheetId="1">LEEME!#REF!</definedName>
    <definedName name="seccion_cobre">'Cálculos conductor cobre'!$N$14</definedName>
    <definedName name="tens_alim" localSheetId="1">LEEME!#REF!</definedName>
    <definedName name="tens_alim">'Cálculos conductor cobre'!$N$57</definedName>
  </definedNames>
  <calcPr calcId="152511"/>
</workbook>
</file>

<file path=xl/calcChain.xml><?xml version="1.0" encoding="utf-8"?>
<calcChain xmlns="http://schemas.openxmlformats.org/spreadsheetml/2006/main">
  <c r="A107" i="1" l="1"/>
  <c r="A39" i="1"/>
  <c r="A45" i="1"/>
  <c r="B61" i="1"/>
  <c r="G61" i="1" s="1"/>
  <c r="B38" i="1"/>
  <c r="D38" i="1" s="1"/>
  <c r="N14" i="1"/>
  <c r="F10" i="1" s="1"/>
  <c r="F9" i="1"/>
  <c r="C38" i="1" l="1"/>
  <c r="N74" i="1" l="1"/>
  <c r="N73" i="1"/>
  <c r="N72" i="1"/>
  <c r="N71" i="1"/>
  <c r="N70" i="1"/>
  <c r="N69" i="1"/>
  <c r="N68" i="1"/>
  <c r="N67" i="1"/>
  <c r="N66" i="1"/>
  <c r="F12" i="1" s="1"/>
  <c r="N65" i="1"/>
  <c r="N64" i="1"/>
  <c r="N63" i="1"/>
  <c r="N62" i="1"/>
  <c r="N61" i="1"/>
  <c r="N57" i="1" l="1"/>
  <c r="E20" i="1" s="1"/>
  <c r="B76" i="1"/>
  <c r="G76" i="1" s="1"/>
  <c r="B63" i="1"/>
  <c r="N20" i="1" s="1"/>
  <c r="B37" i="1" s="1"/>
  <c r="B66" i="1"/>
  <c r="N21" i="1" s="1"/>
  <c r="B36" i="1" s="1"/>
  <c r="B94" i="1"/>
  <c r="N27" i="1" s="1"/>
  <c r="B31" i="1" s="1"/>
  <c r="B96" i="1"/>
  <c r="N28" i="1" s="1"/>
  <c r="B30" i="1" s="1"/>
  <c r="B80" i="1"/>
  <c r="G80" i="1" s="1"/>
  <c r="B106" i="1"/>
  <c r="G106" i="1" s="1"/>
  <c r="B105" i="1"/>
  <c r="G105" i="1" s="1"/>
  <c r="B104" i="1"/>
  <c r="G104" i="1" s="1"/>
  <c r="B103" i="1"/>
  <c r="G103" i="1" s="1"/>
  <c r="B102" i="1"/>
  <c r="G102" i="1" s="1"/>
  <c r="B101" i="1"/>
  <c r="G101" i="1" s="1"/>
  <c r="B100" i="1"/>
  <c r="G100" i="1" s="1"/>
  <c r="B99" i="1"/>
  <c r="G99" i="1" s="1"/>
  <c r="B98" i="1"/>
  <c r="G98" i="1" s="1"/>
  <c r="B97" i="1"/>
  <c r="G97" i="1" s="1"/>
  <c r="B95" i="1"/>
  <c r="G95" i="1" s="1"/>
  <c r="B93" i="1"/>
  <c r="G93" i="1" s="1"/>
  <c r="B92" i="1"/>
  <c r="G92" i="1" s="1"/>
  <c r="B91" i="1"/>
  <c r="G91" i="1" s="1"/>
  <c r="B90" i="1"/>
  <c r="N26" i="1" s="1"/>
  <c r="B89" i="1"/>
  <c r="G89" i="1" s="1"/>
  <c r="B88" i="1"/>
  <c r="G88" i="1" s="1"/>
  <c r="B87" i="1"/>
  <c r="N25" i="1" s="1"/>
  <c r="B32" i="1" s="1"/>
  <c r="B86" i="1"/>
  <c r="G86" i="1" s="1"/>
  <c r="B85" i="1"/>
  <c r="G85" i="1" s="1"/>
  <c r="B84" i="1"/>
  <c r="G84" i="1" s="1"/>
  <c r="B83" i="1"/>
  <c r="G83" i="1" s="1"/>
  <c r="B82" i="1"/>
  <c r="N24" i="1" s="1"/>
  <c r="B33" i="1" s="1"/>
  <c r="B81" i="1"/>
  <c r="G81" i="1" s="1"/>
  <c r="B79" i="1"/>
  <c r="G79" i="1" s="1"/>
  <c r="B78" i="1"/>
  <c r="G78" i="1" s="1"/>
  <c r="B77" i="1"/>
  <c r="N23" i="1" s="1"/>
  <c r="B34" i="1" s="1"/>
  <c r="B75" i="1"/>
  <c r="G75" i="1" s="1"/>
  <c r="B74" i="1"/>
  <c r="G74" i="1" s="1"/>
  <c r="B73" i="1"/>
  <c r="N22" i="1" s="1"/>
  <c r="B35" i="1" s="1"/>
  <c r="B72" i="1"/>
  <c r="G72" i="1" s="1"/>
  <c r="B71" i="1"/>
  <c r="G71" i="1" s="1"/>
  <c r="B70" i="1"/>
  <c r="G70" i="1" s="1"/>
  <c r="B69" i="1"/>
  <c r="G69" i="1" s="1"/>
  <c r="B68" i="1"/>
  <c r="G68" i="1" s="1"/>
  <c r="B67" i="1"/>
  <c r="G67" i="1" s="1"/>
  <c r="B65" i="1"/>
  <c r="G65" i="1" s="1"/>
  <c r="B64" i="1"/>
  <c r="G64" i="1" s="1"/>
  <c r="B62" i="1"/>
  <c r="G62" i="1" s="1"/>
  <c r="B60" i="1"/>
  <c r="G60" i="1" s="1"/>
  <c r="B59" i="1"/>
  <c r="G59" i="1" s="1"/>
  <c r="E6" i="1"/>
  <c r="C33" i="1" l="1"/>
  <c r="D33" i="1"/>
  <c r="C35" i="1"/>
  <c r="D35" i="1"/>
  <c r="D31" i="1"/>
  <c r="C31" i="1"/>
  <c r="D36" i="1"/>
  <c r="C36" i="1"/>
  <c r="D30" i="1"/>
  <c r="C30" i="1"/>
  <c r="D37" i="1"/>
  <c r="C37" i="1"/>
  <c r="D34" i="1"/>
  <c r="C34" i="1"/>
  <c r="F61" i="1"/>
  <c r="G37" i="1"/>
  <c r="H37" i="1" s="1"/>
  <c r="I37" i="1" s="1"/>
  <c r="G31" i="1"/>
  <c r="H31" i="1" s="1"/>
  <c r="I31" i="1" s="1"/>
  <c r="G30" i="1"/>
  <c r="H30" i="1" s="1"/>
  <c r="I30" i="1" s="1"/>
  <c r="G35" i="1"/>
  <c r="H35" i="1" s="1"/>
  <c r="I35" i="1" s="1"/>
  <c r="G38" i="1"/>
  <c r="H38" i="1" s="1"/>
  <c r="I38" i="1" s="1"/>
  <c r="G36" i="1"/>
  <c r="H36" i="1" s="1"/>
  <c r="I36" i="1" s="1"/>
  <c r="G34" i="1"/>
  <c r="H34" i="1" s="1"/>
  <c r="I34" i="1" s="1"/>
  <c r="G33" i="1"/>
  <c r="H33" i="1" s="1"/>
  <c r="I33" i="1" s="1"/>
  <c r="G32" i="1"/>
  <c r="H32" i="1" s="1"/>
  <c r="I32" i="1" s="1"/>
  <c r="D32" i="1"/>
  <c r="C32" i="1"/>
  <c r="E17" i="1"/>
  <c r="G63" i="1"/>
  <c r="G87" i="1"/>
  <c r="G73" i="1"/>
  <c r="F67" i="1"/>
  <c r="E67" i="1" s="1"/>
  <c r="F75" i="1"/>
  <c r="D75" i="1" s="1"/>
  <c r="F83" i="1"/>
  <c r="F91" i="1"/>
  <c r="F99" i="1"/>
  <c r="F59" i="1"/>
  <c r="D59" i="1" s="1"/>
  <c r="F68" i="1"/>
  <c r="F76" i="1"/>
  <c r="F84" i="1"/>
  <c r="F92" i="1"/>
  <c r="F100" i="1"/>
  <c r="G77" i="1"/>
  <c r="F60" i="1"/>
  <c r="F69" i="1"/>
  <c r="D69" i="1" s="1"/>
  <c r="F77" i="1"/>
  <c r="F85" i="1"/>
  <c r="E85" i="1" s="1"/>
  <c r="F93" i="1"/>
  <c r="F101" i="1"/>
  <c r="E101" i="1" s="1"/>
  <c r="G94" i="1"/>
  <c r="F62" i="1"/>
  <c r="F70" i="1"/>
  <c r="F78" i="1"/>
  <c r="F86" i="1"/>
  <c r="F94" i="1"/>
  <c r="F102" i="1"/>
  <c r="F63" i="1"/>
  <c r="E63" i="1" s="1"/>
  <c r="F71" i="1"/>
  <c r="D71" i="1" s="1"/>
  <c r="F79" i="1"/>
  <c r="D79" i="1" s="1"/>
  <c r="F87" i="1"/>
  <c r="F95" i="1"/>
  <c r="E95" i="1" s="1"/>
  <c r="F103" i="1"/>
  <c r="D103" i="1" s="1"/>
  <c r="G96" i="1"/>
  <c r="F64" i="1"/>
  <c r="F72" i="1"/>
  <c r="F80" i="1"/>
  <c r="F88" i="1"/>
  <c r="F96" i="1"/>
  <c r="F104" i="1"/>
  <c r="F65" i="1"/>
  <c r="E65" i="1" s="1"/>
  <c r="F73" i="1"/>
  <c r="E73" i="1" s="1"/>
  <c r="F81" i="1"/>
  <c r="D81" i="1" s="1"/>
  <c r="F89" i="1"/>
  <c r="E89" i="1" s="1"/>
  <c r="F97" i="1"/>
  <c r="E97" i="1" s="1"/>
  <c r="F105" i="1"/>
  <c r="E105" i="1" s="1"/>
  <c r="G66" i="1"/>
  <c r="G82" i="1"/>
  <c r="G90" i="1"/>
  <c r="F66" i="1"/>
  <c r="F74" i="1"/>
  <c r="F82" i="1"/>
  <c r="D82" i="1" s="1"/>
  <c r="F90" i="1"/>
  <c r="F98" i="1"/>
  <c r="F106" i="1"/>
  <c r="E69" i="1"/>
  <c r="D61" i="1" l="1"/>
  <c r="E61" i="1"/>
  <c r="E14" i="1"/>
  <c r="E16" i="1"/>
  <c r="E18" i="1" s="1"/>
  <c r="E19" i="1" s="1"/>
  <c r="M10" i="1"/>
  <c r="E81" i="1"/>
  <c r="D89" i="1"/>
  <c r="D97" i="1"/>
  <c r="N15" i="1"/>
  <c r="D63" i="1"/>
  <c r="D101" i="1"/>
  <c r="D67" i="1"/>
  <c r="E59" i="1"/>
  <c r="D73" i="1"/>
  <c r="E71" i="1"/>
  <c r="E103" i="1"/>
  <c r="E82" i="1"/>
  <c r="D85" i="1"/>
  <c r="E98" i="1"/>
  <c r="D98" i="1"/>
  <c r="E62" i="1"/>
  <c r="D62" i="1"/>
  <c r="E66" i="1"/>
  <c r="D66" i="1"/>
  <c r="D94" i="1"/>
  <c r="E94" i="1"/>
  <c r="E76" i="1"/>
  <c r="D76" i="1"/>
  <c r="E77" i="1"/>
  <c r="D77" i="1"/>
  <c r="D105" i="1"/>
  <c r="E104" i="1"/>
  <c r="D104" i="1"/>
  <c r="E78" i="1"/>
  <c r="D78" i="1"/>
  <c r="E86" i="1"/>
  <c r="D86" i="1"/>
  <c r="E68" i="1"/>
  <c r="D68" i="1"/>
  <c r="D106" i="1"/>
  <c r="E106" i="1"/>
  <c r="D96" i="1"/>
  <c r="E96" i="1"/>
  <c r="D87" i="1"/>
  <c r="E87" i="1"/>
  <c r="E70" i="1"/>
  <c r="D70" i="1"/>
  <c r="D60" i="1"/>
  <c r="E60" i="1"/>
  <c r="E99" i="1"/>
  <c r="D99" i="1"/>
  <c r="D88" i="1"/>
  <c r="E88" i="1"/>
  <c r="E91" i="1"/>
  <c r="D91" i="1"/>
  <c r="D65" i="1"/>
  <c r="D90" i="1"/>
  <c r="E90" i="1"/>
  <c r="E80" i="1"/>
  <c r="D80" i="1"/>
  <c r="D100" i="1"/>
  <c r="E100" i="1"/>
  <c r="E83" i="1"/>
  <c r="D83" i="1"/>
  <c r="E79" i="1"/>
  <c r="D72" i="1"/>
  <c r="E72" i="1"/>
  <c r="E92" i="1"/>
  <c r="D92" i="1"/>
  <c r="E75" i="1"/>
  <c r="D95" i="1"/>
  <c r="E74" i="1"/>
  <c r="D74" i="1"/>
  <c r="E64" i="1"/>
  <c r="D64" i="1"/>
  <c r="D102" i="1"/>
  <c r="E102" i="1"/>
  <c r="E93" i="1"/>
  <c r="D93" i="1"/>
  <c r="E84" i="1"/>
  <c r="D84" i="1"/>
  <c r="H61" i="1" l="1"/>
  <c r="I61" i="1" s="1"/>
  <c r="E31" i="1"/>
  <c r="F31" i="1" s="1"/>
  <c r="E38" i="1"/>
  <c r="F38" i="1" s="1"/>
  <c r="E30" i="1"/>
  <c r="F30" i="1" s="1"/>
  <c r="E37" i="1"/>
  <c r="F37" i="1" s="1"/>
  <c r="E34" i="1"/>
  <c r="F34" i="1" s="1"/>
  <c r="E32" i="1"/>
  <c r="F32" i="1" s="1"/>
  <c r="E36" i="1"/>
  <c r="F36" i="1" s="1"/>
  <c r="E35" i="1"/>
  <c r="F35" i="1" s="1"/>
  <c r="E33" i="1"/>
  <c r="F33" i="1" s="1"/>
  <c r="H53" i="1"/>
  <c r="H52" i="1" s="1"/>
  <c r="G53" i="1"/>
  <c r="G52" i="1" s="1"/>
  <c r="F53" i="1"/>
  <c r="F52" i="1" s="1"/>
  <c r="E53" i="1"/>
  <c r="E52" i="1" s="1"/>
  <c r="D53" i="1"/>
  <c r="D52" i="1" s="1"/>
  <c r="E49" i="1"/>
  <c r="E48" i="1" s="1"/>
  <c r="D49" i="1"/>
  <c r="D48" i="1" s="1"/>
  <c r="G49" i="1"/>
  <c r="G48" i="1" s="1"/>
  <c r="E15" i="1"/>
  <c r="F49" i="1"/>
  <c r="F48" i="1" s="1"/>
  <c r="E21" i="1"/>
  <c r="E22" i="1" s="1"/>
  <c r="E23" i="1" s="1"/>
  <c r="H49" i="1"/>
  <c r="H48" i="1" s="1"/>
  <c r="H102" i="1"/>
  <c r="I102" i="1" s="1"/>
  <c r="H103" i="1"/>
  <c r="I103" i="1" s="1"/>
  <c r="H101" i="1"/>
  <c r="I101" i="1" s="1"/>
  <c r="H72" i="1"/>
  <c r="I72" i="1" s="1"/>
  <c r="H78" i="1"/>
  <c r="I78" i="1" s="1"/>
  <c r="H73" i="1"/>
  <c r="I73" i="1" s="1"/>
  <c r="H90" i="1"/>
  <c r="I90" i="1" s="1"/>
  <c r="H91" i="1"/>
  <c r="I91" i="1" s="1"/>
  <c r="H70" i="1"/>
  <c r="I70" i="1" s="1"/>
  <c r="H68" i="1"/>
  <c r="I68" i="1" s="1"/>
  <c r="H80" i="1"/>
  <c r="I80" i="1" s="1"/>
  <c r="H86" i="1"/>
  <c r="I86" i="1" s="1"/>
  <c r="H81" i="1"/>
  <c r="I81" i="1" s="1"/>
  <c r="H98" i="1"/>
  <c r="I98" i="1" s="1"/>
  <c r="H106" i="1"/>
  <c r="I106" i="1" s="1"/>
  <c r="H71" i="1"/>
  <c r="I71" i="1" s="1"/>
  <c r="H97" i="1"/>
  <c r="I97" i="1" s="1"/>
  <c r="H87" i="1"/>
  <c r="I87" i="1" s="1"/>
  <c r="H83" i="1"/>
  <c r="I83" i="1" s="1"/>
  <c r="H93" i="1"/>
  <c r="I93" i="1" s="1"/>
  <c r="H99" i="1"/>
  <c r="I99" i="1" s="1"/>
  <c r="H76" i="1"/>
  <c r="I76" i="1" s="1"/>
  <c r="H88" i="1"/>
  <c r="I88" i="1" s="1"/>
  <c r="H94" i="1"/>
  <c r="I94" i="1" s="1"/>
  <c r="H89" i="1"/>
  <c r="I89" i="1" s="1"/>
  <c r="H84" i="1"/>
  <c r="I84" i="1" s="1"/>
  <c r="H63" i="1"/>
  <c r="I63" i="1" s="1"/>
  <c r="H67" i="1"/>
  <c r="I67" i="1" s="1"/>
  <c r="H64" i="1"/>
  <c r="I64" i="1" s="1"/>
  <c r="H96" i="1"/>
  <c r="I96" i="1" s="1"/>
  <c r="H77" i="1"/>
  <c r="I77" i="1" s="1"/>
  <c r="H85" i="1"/>
  <c r="I85" i="1" s="1"/>
  <c r="H59" i="1"/>
  <c r="I59" i="1" s="1"/>
  <c r="H60" i="1"/>
  <c r="I60" i="1" s="1"/>
  <c r="H95" i="1"/>
  <c r="I95" i="1" s="1"/>
  <c r="H104" i="1"/>
  <c r="I104" i="1" s="1"/>
  <c r="H79" i="1"/>
  <c r="I79" i="1" s="1"/>
  <c r="H105" i="1"/>
  <c r="I105" i="1" s="1"/>
  <c r="H75" i="1"/>
  <c r="I75" i="1" s="1"/>
  <c r="H100" i="1"/>
  <c r="I100" i="1" s="1"/>
  <c r="H69" i="1"/>
  <c r="I69" i="1" s="1"/>
  <c r="H92" i="1"/>
  <c r="I92" i="1" s="1"/>
  <c r="H66" i="1"/>
  <c r="I66" i="1" s="1"/>
  <c r="H62" i="1"/>
  <c r="I62" i="1" s="1"/>
  <c r="H82" i="1"/>
  <c r="I82" i="1" s="1"/>
  <c r="H74" i="1"/>
  <c r="I74" i="1" s="1"/>
  <c r="H65" i="1"/>
  <c r="I65" i="1" s="1"/>
</calcChain>
</file>

<file path=xl/comments1.xml><?xml version="1.0" encoding="utf-8"?>
<comments xmlns="http://schemas.openxmlformats.org/spreadsheetml/2006/main">
  <authors>
    <author>Carlos Martín</author>
  </authors>
  <commentList>
    <comment ref="B58" authorId="0" shapeId="0">
      <text>
        <r>
          <rPr>
            <b/>
            <sz val="8"/>
            <color indexed="81"/>
            <rFont val="Tahoma"/>
            <family val="2"/>
          </rPr>
          <t>Las filas coloreadas corresponden a las secciones comerciales más corrientes.</t>
        </r>
      </text>
    </comment>
    <comment ref="D58" authorId="0" shapeId="0">
      <text>
        <r>
          <rPr>
            <b/>
            <sz val="8"/>
            <color indexed="81"/>
            <rFont val="Tahoma"/>
            <family val="2"/>
          </rPr>
          <t>Se considera un conductor de 50 cm de longitud, lo que equivale a un cable paralelo (2 hilos) de 25 cm.</t>
        </r>
      </text>
    </comment>
    <comment ref="E58" authorId="0" shapeId="0">
      <text>
        <r>
          <rPr>
            <b/>
            <sz val="8"/>
            <color indexed="81"/>
            <rFont val="Tahoma"/>
            <family val="2"/>
          </rPr>
          <t>Se considera un conductor de 50 cm de longitud, lo que equivale a un cable paralelo (2 hilos) de 25 cm.</t>
        </r>
      </text>
    </comment>
  </commentList>
</comments>
</file>

<file path=xl/sharedStrings.xml><?xml version="1.0" encoding="utf-8"?>
<sst xmlns="http://schemas.openxmlformats.org/spreadsheetml/2006/main" count="117" uniqueCount="93">
  <si>
    <t>El color amarillo indica que se pueden introducir datos en esas celdas.</t>
  </si>
  <si>
    <t>Resistividad del cobre =</t>
  </si>
  <si>
    <t>Ohm*mm</t>
  </si>
  <si>
    <t>Longitud del conductor =</t>
  </si>
  <si>
    <t>mm (sumando ida y vuelta)</t>
  </si>
  <si>
    <t>Resistencia =</t>
  </si>
  <si>
    <t>Ohmios</t>
  </si>
  <si>
    <t>Conductancia =</t>
  </si>
  <si>
    <t>Siemens</t>
  </si>
  <si>
    <t>Peso del cobre =</t>
  </si>
  <si>
    <t>Peso del aislante =</t>
  </si>
  <si>
    <t>Intensidad =</t>
  </si>
  <si>
    <t>A</t>
  </si>
  <si>
    <t>Tensión de alimentación =</t>
  </si>
  <si>
    <t>Caída de tensión =</t>
  </si>
  <si>
    <t>V</t>
  </si>
  <si>
    <t>Potencia perdida =</t>
  </si>
  <si>
    <t>W</t>
  </si>
  <si>
    <t>Amperaje máximo para una pérdida dada de potencia en el cable</t>
  </si>
  <si>
    <t>Pérdida de potencia (W)</t>
  </si>
  <si>
    <t>% pérdida potencia</t>
  </si>
  <si>
    <t>Amperaje máximo (A)</t>
  </si>
  <si>
    <r>
      <t>mm</t>
    </r>
    <r>
      <rPr>
        <vertAlign val="superscript"/>
        <sz val="10"/>
        <rFont val="Arial"/>
        <family val="2"/>
      </rPr>
      <t>2</t>
    </r>
  </si>
  <si>
    <t>Densidad del cobre =</t>
  </si>
  <si>
    <t>Densidad del aislante =</t>
  </si>
  <si>
    <t>mm</t>
  </si>
  <si>
    <t>Amperaje
para pérdida
de 2W
(50cm long.)</t>
  </si>
  <si>
    <t>Amperaje
para pérdida
de 5W
(50cm long.)</t>
  </si>
  <si>
    <t>Diámetro
del cobre
(mm)</t>
  </si>
  <si>
    <r>
      <t>Sección
del cobre
(mm</t>
    </r>
    <r>
      <rPr>
        <b/>
        <vertAlign val="superscript"/>
        <sz val="10"/>
        <rFont val="Arial"/>
        <family val="2"/>
      </rPr>
      <t>2</t>
    </r>
    <r>
      <rPr>
        <b/>
        <sz val="10"/>
        <rFont val="Arial"/>
        <family val="2"/>
      </rPr>
      <t>)</t>
    </r>
  </si>
  <si>
    <t>Resistencia del cobre (Ohms/m)</t>
  </si>
  <si>
    <t>Diámetro del aislante =</t>
  </si>
  <si>
    <t>AWG</t>
  </si>
  <si>
    <t>Potencia de entrada =</t>
  </si>
  <si>
    <t>% Pérdida de potencia =</t>
  </si>
  <si>
    <t>g</t>
  </si>
  <si>
    <r>
      <t>g/cm</t>
    </r>
    <r>
      <rPr>
        <vertAlign val="superscript"/>
        <sz val="10"/>
        <rFont val="Arial"/>
        <family val="2"/>
      </rPr>
      <t>3</t>
    </r>
  </si>
  <si>
    <t>Peso
del cobre
(g/m)</t>
  </si>
  <si>
    <t>Peso aprox. del aislante
(g/m)</t>
  </si>
  <si>
    <t>Peso total
conductor
(g/m)</t>
  </si>
  <si>
    <r>
      <t xml:space="preserve">veces el </t>
    </r>
    <r>
      <rPr>
        <sz val="10"/>
        <rFont val="Calibri"/>
        <family val="2"/>
      </rPr>
      <t>ø</t>
    </r>
    <r>
      <rPr>
        <sz val="10"/>
        <rFont val="Arial"/>
        <family val="2"/>
      </rPr>
      <t xml:space="preserve"> del cobre</t>
    </r>
  </si>
  <si>
    <t>Diámetro del cobre =</t>
  </si>
  <si>
    <t>AWG10</t>
  </si>
  <si>
    <t>AWG12</t>
  </si>
  <si>
    <t>AWG14</t>
  </si>
  <si>
    <t>AWG16</t>
  </si>
  <si>
    <t>AWG18</t>
  </si>
  <si>
    <t>AWG20</t>
  </si>
  <si>
    <t>AWG22</t>
  </si>
  <si>
    <t>AWG24</t>
  </si>
  <si>
    <t>AWG26</t>
  </si>
  <si>
    <t>Lista secciones</t>
  </si>
  <si>
    <t>Sección del conductor de cobre =</t>
  </si>
  <si>
    <r>
      <t>g/cm</t>
    </r>
    <r>
      <rPr>
        <vertAlign val="superscript"/>
        <sz val="10"/>
        <rFont val="Arial"/>
        <family val="2"/>
      </rPr>
      <t xml:space="preserve">3 </t>
    </r>
    <r>
      <rPr>
        <sz val="10"/>
        <rFont val="Arial"/>
        <family val="2"/>
      </rPr>
      <t>(aprox. para la silicona)</t>
    </r>
  </si>
  <si>
    <t>Lista de voltajes de alimentación</t>
  </si>
  <si>
    <t>1S</t>
  </si>
  <si>
    <t>2S</t>
  </si>
  <si>
    <t>3S</t>
  </si>
  <si>
    <t>4S</t>
  </si>
  <si>
    <t>5S</t>
  </si>
  <si>
    <t>6S</t>
  </si>
  <si>
    <t>7S</t>
  </si>
  <si>
    <t>8S</t>
  </si>
  <si>
    <t>9S</t>
  </si>
  <si>
    <t>10S</t>
  </si>
  <si>
    <t>11S</t>
  </si>
  <si>
    <t>12S</t>
  </si>
  <si>
    <t>13S</t>
  </si>
  <si>
    <t>14S</t>
  </si>
  <si>
    <t>Núm. Células Lipo</t>
  </si>
  <si>
    <t>Voltaje nominal</t>
  </si>
  <si>
    <t xml:space="preserve">Tensión seleccionada: </t>
  </si>
  <si>
    <t>Relación de diámetros aislante/cobre</t>
  </si>
  <si>
    <r>
      <t>Sección en mm</t>
    </r>
    <r>
      <rPr>
        <vertAlign val="superscript"/>
        <sz val="10"/>
        <rFont val="Arial"/>
        <family val="2"/>
      </rPr>
      <t>2</t>
    </r>
  </si>
  <si>
    <t xml:space="preserve">Sección cobre seleccionada: </t>
  </si>
  <si>
    <t>Diám. equiv. a la sección cobre seleccionada:</t>
  </si>
  <si>
    <t xml:space="preserve">          Este dato se puede cambiar al principio de esta hoja, en el campo "Diámetro del aislante".</t>
  </si>
  <si>
    <t>Cálculos eléctricos y mecánicos de un conductor de cobre</t>
  </si>
  <si>
    <t>AWG8</t>
  </si>
  <si>
    <t>Sección cobre</t>
  </si>
  <si>
    <t>Peso total del cable =</t>
  </si>
  <si>
    <r>
      <t>mm</t>
    </r>
    <r>
      <rPr>
        <b/>
        <vertAlign val="superscript"/>
        <sz val="10"/>
        <rFont val="Arial"/>
        <family val="2"/>
      </rPr>
      <t>2</t>
    </r>
  </si>
  <si>
    <r>
      <rPr>
        <b/>
        <sz val="10"/>
        <rFont val="Calibri"/>
        <family val="2"/>
      </rPr>
      <t xml:space="preserve">Ø </t>
    </r>
    <r>
      <rPr>
        <b/>
        <sz val="10"/>
        <rFont val="Arial"/>
        <family val="2"/>
      </rPr>
      <t>cobre</t>
    </r>
  </si>
  <si>
    <t>cobre</t>
  </si>
  <si>
    <t>aislante</t>
  </si>
  <si>
    <t>total</t>
  </si>
  <si>
    <t>Peso (g)</t>
  </si>
  <si>
    <t>Potencia perdida</t>
  </si>
  <si>
    <t>Caída tensión (V)</t>
  </si>
  <si>
    <t>Potencia perdida (W)</t>
  </si>
  <si>
    <t>La siguiente tabla realiza los cálculos anteriores para todas las secciones comerciales de cable</t>
  </si>
  <si>
    <t>Si guardas esta tabla impresa te puede ayudar a tomar una decisión preliminar de la sección de cable que puedes necesitar para tu aplicación, luego debes confirmarlo con los datos exactos usando la fórmula que tienes al principio de esta hoja.</t>
  </si>
  <si>
    <t>La siguiente tabla es sólo a título informativo, para hacernos una idea general, parte de pérdidas de potencia prefijadas.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</si>
</sst>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0000"/>
    <numFmt numFmtId="166" formatCode="0.0"/>
  </numFmts>
  <fonts count="17" x14ac:knownFonts="1">
    <font>
      <sz val="10"/>
      <name val="Arial"/>
    </font>
    <font>
      <sz val="10"/>
      <name val="Arial"/>
      <family val="2"/>
    </font>
    <font>
      <sz val="8"/>
      <name val="Arial"/>
      <family val="2"/>
    </font>
    <font>
      <b/>
      <sz val="10"/>
      <name val="Arial"/>
      <family val="2"/>
    </font>
    <font>
      <b/>
      <vertAlign val="superscript"/>
      <sz val="10"/>
      <name val="Arial"/>
      <family val="2"/>
    </font>
    <font>
      <b/>
      <sz val="9"/>
      <name val="Arial"/>
      <family val="2"/>
    </font>
    <font>
      <vertAlign val="superscript"/>
      <sz val="10"/>
      <name val="Arial"/>
      <family val="2"/>
    </font>
    <font>
      <sz val="10"/>
      <name val="Arial"/>
      <family val="2"/>
    </font>
    <font>
      <b/>
      <i/>
      <sz val="10"/>
      <name val="Arial"/>
      <family val="2"/>
    </font>
    <font>
      <b/>
      <sz val="8"/>
      <color indexed="81"/>
      <name val="Tahoma"/>
      <family val="2"/>
    </font>
    <font>
      <i/>
      <sz val="10"/>
      <name val="Arial"/>
      <family val="2"/>
    </font>
    <font>
      <sz val="10"/>
      <name val="Calibri"/>
      <family val="2"/>
    </font>
    <font>
      <b/>
      <u/>
      <sz val="17"/>
      <color rgb="FF92D050"/>
      <name val="Arial"/>
      <family val="2"/>
    </font>
    <font>
      <b/>
      <sz val="10"/>
      <color rgb="FFFF0000"/>
      <name val="Arial"/>
      <family val="2"/>
    </font>
    <font>
      <b/>
      <sz val="10"/>
      <name val="Calibri"/>
      <family val="2"/>
    </font>
    <font>
      <sz val="10"/>
      <color rgb="FFFF0000"/>
      <name val="Arial"/>
      <family val="2"/>
    </font>
    <font>
      <sz val="9"/>
      <name val="Arial"/>
      <family val="2"/>
    </font>
  </fonts>
  <fills count="8">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indexed="47"/>
        <bgColor indexed="64"/>
      </patternFill>
    </fill>
    <fill>
      <patternFill patternType="solid">
        <fgColor indexed="44"/>
        <bgColor indexed="64"/>
      </patternFill>
    </fill>
    <fill>
      <patternFill patternType="solid">
        <fgColor indexed="11"/>
        <bgColor indexed="64"/>
      </patternFill>
    </fill>
    <fill>
      <patternFill patternType="solid">
        <fgColor rgb="FF6AF46D"/>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top style="medium">
        <color indexed="9"/>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2">
    <xf numFmtId="0" fontId="0" fillId="0" borderId="0"/>
    <xf numFmtId="9" fontId="1" fillId="0" borderId="0" applyFont="0" applyFill="0" applyBorder="0" applyAlignment="0" applyProtection="0"/>
  </cellStyleXfs>
  <cellXfs count="73">
    <xf numFmtId="0" fontId="0" fillId="0" borderId="0" xfId="0"/>
    <xf numFmtId="0" fontId="3" fillId="0" borderId="0" xfId="0" applyFont="1"/>
    <xf numFmtId="0" fontId="3" fillId="0" borderId="1" xfId="0" applyFont="1" applyBorder="1" applyAlignment="1">
      <alignment horizontal="center"/>
    </xf>
    <xf numFmtId="2" fontId="0" fillId="0" borderId="2" xfId="0" applyNumberFormat="1" applyBorder="1" applyAlignment="1">
      <alignment horizontal="center"/>
    </xf>
    <xf numFmtId="164" fontId="0" fillId="0" borderId="2" xfId="0" applyNumberFormat="1" applyBorder="1" applyAlignment="1">
      <alignment horizontal="center"/>
    </xf>
    <xf numFmtId="2" fontId="0" fillId="0" borderId="3" xfId="0" applyNumberFormat="1" applyBorder="1" applyAlignment="1">
      <alignment horizontal="center"/>
    </xf>
    <xf numFmtId="165" fontId="0" fillId="0" borderId="3" xfId="0" applyNumberFormat="1" applyBorder="1" applyAlignment="1">
      <alignment horizontal="center"/>
    </xf>
    <xf numFmtId="0" fontId="0" fillId="2" borderId="0" xfId="0" applyFill="1"/>
    <xf numFmtId="0" fontId="0" fillId="0" borderId="0" xfId="0" applyAlignment="1">
      <alignment horizontal="right"/>
    </xf>
    <xf numFmtId="0" fontId="3" fillId="0" borderId="0" xfId="0" applyFont="1" applyAlignment="1">
      <alignment horizontal="right"/>
    </xf>
    <xf numFmtId="2" fontId="3" fillId="0" borderId="0" xfId="0" applyNumberFormat="1" applyFont="1"/>
    <xf numFmtId="2" fontId="0" fillId="3" borderId="3" xfId="0" applyNumberFormat="1" applyFill="1" applyBorder="1" applyAlignment="1">
      <alignment horizontal="center"/>
    </xf>
    <xf numFmtId="165" fontId="0" fillId="3" borderId="3" xfId="0" applyNumberFormat="1" applyFill="1" applyBorder="1" applyAlignment="1">
      <alignment horizontal="center"/>
    </xf>
    <xf numFmtId="2" fontId="0" fillId="3" borderId="2" xfId="0" applyNumberFormat="1" applyFill="1" applyBorder="1" applyAlignment="1">
      <alignment horizontal="center"/>
    </xf>
    <xf numFmtId="0" fontId="8" fillId="0" borderId="0" xfId="0" applyFont="1"/>
    <xf numFmtId="0" fontId="3" fillId="5" borderId="1" xfId="0" applyFont="1" applyFill="1" applyBorder="1" applyAlignment="1">
      <alignment horizontal="center" wrapText="1"/>
    </xf>
    <xf numFmtId="0" fontId="5" fillId="5" borderId="1" xfId="0" applyFont="1" applyFill="1" applyBorder="1" applyAlignment="1">
      <alignment horizontal="center" wrapText="1"/>
    </xf>
    <xf numFmtId="1" fontId="0" fillId="4" borderId="2" xfId="0" applyNumberFormat="1" applyFill="1" applyBorder="1" applyAlignment="1">
      <alignment horizontal="center"/>
    </xf>
    <xf numFmtId="0" fontId="7" fillId="0" borderId="0" xfId="0" applyFont="1"/>
    <xf numFmtId="0" fontId="10" fillId="0" borderId="0" xfId="0" applyFont="1"/>
    <xf numFmtId="166" fontId="0" fillId="0" borderId="0" xfId="0" applyNumberFormat="1"/>
    <xf numFmtId="2" fontId="0" fillId="4" borderId="2" xfId="0" applyNumberFormat="1" applyFill="1" applyBorder="1" applyAlignment="1">
      <alignment horizontal="center"/>
    </xf>
    <xf numFmtId="0" fontId="1" fillId="0" borderId="0" xfId="0" applyFont="1"/>
    <xf numFmtId="2" fontId="0" fillId="0" borderId="0" xfId="0" applyNumberFormat="1"/>
    <xf numFmtId="0" fontId="0" fillId="0" borderId="0" xfId="0" applyAlignment="1">
      <alignment horizontal="center"/>
    </xf>
    <xf numFmtId="2" fontId="0" fillId="0" borderId="0" xfId="0" applyNumberFormat="1" applyAlignment="1">
      <alignment horizontal="center"/>
    </xf>
    <xf numFmtId="0" fontId="1" fillId="0" borderId="0" xfId="0" applyFont="1" applyAlignment="1">
      <alignment horizontal="right"/>
    </xf>
    <xf numFmtId="2" fontId="0" fillId="0" borderId="0" xfId="0" applyNumberFormat="1" applyBorder="1" applyAlignment="1">
      <alignment horizontal="center"/>
    </xf>
    <xf numFmtId="0" fontId="0" fillId="0" borderId="8" xfId="0" applyBorder="1"/>
    <xf numFmtId="0" fontId="1" fillId="0" borderId="9" xfId="0" applyFont="1" applyBorder="1" applyAlignment="1">
      <alignment horizontal="right"/>
    </xf>
    <xf numFmtId="0" fontId="1" fillId="0" borderId="9" xfId="0" applyFont="1" applyBorder="1"/>
    <xf numFmtId="0" fontId="0" fillId="0" borderId="10" xfId="0" applyBorder="1"/>
    <xf numFmtId="0" fontId="0" fillId="0" borderId="11" xfId="0" applyBorder="1"/>
    <xf numFmtId="0" fontId="0" fillId="0" borderId="12" xfId="0" applyBorder="1"/>
    <xf numFmtId="0" fontId="0" fillId="0" borderId="0" xfId="0" applyBorder="1" applyAlignment="1">
      <alignment horizontal="center"/>
    </xf>
    <xf numFmtId="0" fontId="0" fillId="0" borderId="13" xfId="0" applyBorder="1"/>
    <xf numFmtId="0" fontId="0" fillId="0" borderId="14" xfId="0" applyBorder="1" applyAlignment="1">
      <alignment horizontal="center"/>
    </xf>
    <xf numFmtId="2" fontId="0" fillId="0" borderId="14" xfId="0" applyNumberFormat="1" applyBorder="1" applyAlignment="1">
      <alignment horizontal="center"/>
    </xf>
    <xf numFmtId="0" fontId="0" fillId="0" borderId="15" xfId="0" applyBorder="1"/>
    <xf numFmtId="0" fontId="0" fillId="0" borderId="9" xfId="0" applyFont="1" applyBorder="1" applyAlignment="1">
      <alignment horizontal="center"/>
    </xf>
    <xf numFmtId="0" fontId="0" fillId="0" borderId="0" xfId="0" applyFont="1" applyBorder="1" applyAlignment="1">
      <alignment horizontal="right"/>
    </xf>
    <xf numFmtId="0" fontId="1" fillId="0" borderId="12" xfId="0" applyFont="1" applyBorder="1"/>
    <xf numFmtId="0" fontId="0" fillId="0" borderId="0" xfId="0" applyFont="1" applyBorder="1" applyAlignment="1">
      <alignment horizontal="center"/>
    </xf>
    <xf numFmtId="0" fontId="0" fillId="0" borderId="12" xfId="0" applyBorder="1" applyAlignment="1">
      <alignment horizontal="center"/>
    </xf>
    <xf numFmtId="0" fontId="0" fillId="0" borderId="14" xfId="0" applyFont="1" applyBorder="1" applyAlignment="1">
      <alignment horizontal="center"/>
    </xf>
    <xf numFmtId="0" fontId="0" fillId="0" borderId="15" xfId="0" applyBorder="1" applyAlignment="1">
      <alignment horizontal="center"/>
    </xf>
    <xf numFmtId="0" fontId="13" fillId="0" borderId="0" xfId="0" applyFont="1" applyAlignment="1">
      <alignment horizontal="right"/>
    </xf>
    <xf numFmtId="10" fontId="13" fillId="0" borderId="0" xfId="1" applyNumberFormat="1" applyFont="1"/>
    <xf numFmtId="0" fontId="0" fillId="2" borderId="4" xfId="0" applyFill="1" applyBorder="1" applyProtection="1">
      <protection locked="0"/>
    </xf>
    <xf numFmtId="0" fontId="0" fillId="2" borderId="4" xfId="0" applyFill="1" applyBorder="1" applyAlignment="1" applyProtection="1">
      <alignment horizontal="right"/>
      <protection locked="0"/>
    </xf>
    <xf numFmtId="0" fontId="1" fillId="2" borderId="4" xfId="0" applyFont="1" applyFill="1" applyBorder="1" applyAlignment="1" applyProtection="1">
      <alignment horizontal="right"/>
      <protection locked="0"/>
    </xf>
    <xf numFmtId="0" fontId="5" fillId="6" borderId="5" xfId="0" applyFont="1" applyFill="1" applyBorder="1" applyAlignment="1">
      <alignment horizontal="center"/>
    </xf>
    <xf numFmtId="0" fontId="5" fillId="6" borderId="6" xfId="0" applyFont="1" applyFill="1" applyBorder="1" applyAlignment="1">
      <alignment horizontal="center"/>
    </xf>
    <xf numFmtId="0" fontId="5" fillId="6" borderId="7" xfId="0" applyFont="1" applyFill="1" applyBorder="1" applyAlignment="1">
      <alignment horizontal="center"/>
    </xf>
    <xf numFmtId="0" fontId="12" fillId="0" borderId="0" xfId="0" applyFont="1" applyAlignment="1">
      <alignment horizontal="center"/>
    </xf>
    <xf numFmtId="0" fontId="1" fillId="0" borderId="0" xfId="0" applyFont="1" applyBorder="1" applyAlignment="1">
      <alignment horizontal="center"/>
    </xf>
    <xf numFmtId="164" fontId="3" fillId="0" borderId="0" xfId="0" applyNumberFormat="1" applyFont="1"/>
    <xf numFmtId="0" fontId="0" fillId="0" borderId="18" xfId="0" applyBorder="1" applyAlignment="1">
      <alignment horizontal="center"/>
    </xf>
    <xf numFmtId="2" fontId="0" fillId="0" borderId="18" xfId="0" applyNumberFormat="1" applyBorder="1" applyAlignment="1">
      <alignment horizontal="center"/>
    </xf>
    <xf numFmtId="164" fontId="0" fillId="0" borderId="18" xfId="0" applyNumberFormat="1" applyBorder="1" applyAlignment="1">
      <alignment horizontal="center"/>
    </xf>
    <xf numFmtId="10" fontId="15" fillId="0" borderId="18" xfId="0" applyNumberFormat="1" applyFont="1" applyBorder="1" applyAlignment="1">
      <alignment horizontal="center"/>
    </xf>
    <xf numFmtId="0" fontId="0" fillId="0" borderId="3" xfId="0" applyBorder="1" applyAlignment="1">
      <alignment horizontal="center"/>
    </xf>
    <xf numFmtId="164" fontId="0" fillId="0" borderId="3" xfId="0" applyNumberFormat="1" applyBorder="1" applyAlignment="1">
      <alignment horizontal="center"/>
    </xf>
    <xf numFmtId="10" fontId="15" fillId="0" borderId="3" xfId="0" applyNumberFormat="1" applyFont="1" applyBorder="1" applyAlignment="1">
      <alignment horizontal="center"/>
    </xf>
    <xf numFmtId="0" fontId="0" fillId="0" borderId="0" xfId="0" applyBorder="1"/>
    <xf numFmtId="0" fontId="3" fillId="7" borderId="16" xfId="0" applyFont="1" applyFill="1" applyBorder="1" applyAlignment="1">
      <alignment horizontal="center"/>
    </xf>
    <xf numFmtId="0" fontId="3" fillId="7" borderId="16" xfId="0" applyFont="1" applyFill="1" applyBorder="1" applyAlignment="1">
      <alignment horizontal="center"/>
    </xf>
    <xf numFmtId="0" fontId="3" fillId="7" borderId="1" xfId="0" applyFont="1" applyFill="1" applyBorder="1" applyAlignment="1">
      <alignment horizontal="center" wrapText="1"/>
    </xf>
    <xf numFmtId="0" fontId="13" fillId="7" borderId="1" xfId="0" applyFont="1" applyFill="1" applyBorder="1" applyAlignment="1">
      <alignment horizontal="center" wrapText="1"/>
    </xf>
    <xf numFmtId="0" fontId="3" fillId="7" borderId="19" xfId="0" applyFont="1" applyFill="1" applyBorder="1" applyAlignment="1">
      <alignment horizontal="center"/>
    </xf>
    <xf numFmtId="0" fontId="3" fillId="7" borderId="17" xfId="0" applyFont="1" applyFill="1" applyBorder="1" applyAlignment="1">
      <alignment horizontal="center"/>
    </xf>
    <xf numFmtId="0" fontId="16" fillId="0" borderId="0" xfId="0" applyFont="1" applyAlignment="1">
      <alignment horizontal="left" vertical="top" wrapText="1"/>
    </xf>
    <xf numFmtId="0" fontId="16" fillId="0" borderId="14" xfId="0" applyFont="1" applyBorder="1" applyAlignment="1">
      <alignment horizontal="left" vertical="top" wrapText="1"/>
    </xf>
  </cellXfs>
  <cellStyles count="2">
    <cellStyle name="Normal" xfId="0" builtinId="0"/>
    <cellStyle name="Porcentaje" xfId="1" builtinId="5"/>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6AF4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41412</xdr:rowOff>
    </xdr:from>
    <xdr:to>
      <xdr:col>9</xdr:col>
      <xdr:colOff>861390</xdr:colOff>
      <xdr:row>61</xdr:row>
      <xdr:rowOff>149087</xdr:rowOff>
    </xdr:to>
    <xdr:sp macro="" textlink="">
      <xdr:nvSpPr>
        <xdr:cNvPr id="2" name="CuadroTexto 1"/>
        <xdr:cNvSpPr txBox="1"/>
      </xdr:nvSpPr>
      <xdr:spPr>
        <a:xfrm>
          <a:off x="0" y="41412"/>
          <a:ext cx="8067260" cy="102124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400"/>
            <a:t>Esta hoja de cálculo está pensada para facilitarte la tarea de seleccionar el</a:t>
          </a:r>
          <a:r>
            <a:rPr lang="es-ES" sz="1400" baseline="0"/>
            <a:t> cable de sección más adecuada para tu aplicación.</a:t>
          </a:r>
        </a:p>
        <a:p>
          <a:r>
            <a:rPr lang="es-ES" sz="1400" baseline="0"/>
            <a:t>Surge como respuesta a la pregunta ¿qué sección de cable necesito para X amperios? ya que no se le puede dar una respuesta única y depende de otros factores como la longitud del cable y la potencia que se esté dispuesto a perder en él. No es lo mismo un cable para un avión entrenador, donde probablemente no nos importará perder un 3% o quizás hasta un 5% de potencia, que el cable para un avión de velocidad donde cada vatio cuenta.</a:t>
          </a:r>
        </a:p>
        <a:p>
          <a:endParaRPr lang="es-ES" sz="1400" baseline="0"/>
        </a:p>
        <a:p>
          <a:pPr marL="0" marR="0" lvl="0" indent="0" defTabSz="914400" eaLnBrk="1" fontAlgn="auto" latinLnBrk="0" hangingPunct="1">
            <a:lnSpc>
              <a:spcPct val="100000"/>
            </a:lnSpc>
            <a:spcBef>
              <a:spcPts val="0"/>
            </a:spcBef>
            <a:spcAft>
              <a:spcPts val="0"/>
            </a:spcAft>
            <a:buClrTx/>
            <a:buSzTx/>
            <a:buFontTx/>
            <a:buNone/>
            <a:tabLst/>
            <a:defRPr/>
          </a:pPr>
          <a:r>
            <a:rPr lang="es-ES" sz="1400" b="1" baseline="0">
              <a:solidFill>
                <a:srgbClr val="00B050"/>
              </a:solidFill>
              <a:latin typeface="+mn-lt"/>
              <a:ea typeface="+mn-ea"/>
              <a:cs typeface="+mn-cs"/>
            </a:rPr>
            <a:t>En general, yo suelo aceptar una pérdida de potencia del 1% para un uso normal.</a:t>
          </a:r>
        </a:p>
        <a:p>
          <a:endParaRPr lang="es-ES" sz="1400" baseline="0"/>
        </a:p>
        <a:p>
          <a:r>
            <a:rPr lang="es-ES" sz="1400" baseline="0"/>
            <a:t>Resulta sorprendente encontrar quienes recomiendan una sección de cable determinada basándose exclusivamente en la corriente que va a circular por él y sin tener en cuenta la longitud del cable y el tipo de aeromodelo en que se va a usar, pero incluso Internet está llena de páginas donde se comete el mismo error y muchas escritas por "expertos" en el tema.</a:t>
          </a:r>
        </a:p>
        <a:p>
          <a:endParaRPr lang="es-ES" sz="1400" baseline="0"/>
        </a:p>
        <a:p>
          <a:endParaRPr lang="es-ES" sz="1400" baseline="0"/>
        </a:p>
        <a:p>
          <a:r>
            <a:rPr lang="es-ES" sz="1600" b="1" baseline="0">
              <a:solidFill>
                <a:srgbClr val="00B0F0"/>
              </a:solidFill>
            </a:rPr>
            <a:t>¿Cómo se usa?</a:t>
          </a:r>
        </a:p>
        <a:p>
          <a:r>
            <a:rPr lang="es-ES" sz="1400" baseline="0"/>
            <a:t>Sólo tienes que introducir los datos que piden las celdas coloreadas en amarillo y obtendrás los resultados más abajo, el cálculo más importante es el porcentaje de pérdida de potencia que está destacado en color rojo, es tu decisión elegir el porcentaje máximo admisible para tu aplicación, obviamente es mejor cuanto más bajo sea este resultado pero eso implica también un cable de mayor sección, peso y precio. No hay una respuesta única y tienes que sopesar las ventajas e inconvenientes.</a:t>
          </a:r>
        </a:p>
        <a:p>
          <a:r>
            <a:rPr lang="es-ES" sz="1400" baseline="0"/>
            <a:t>He incluido una tabla de cálculos para todas las secciones comerciales AWG de cable y así tienes una visión general sin tener que repetir los cálculos para cada sección, si no estás usando una sección AWG puedes simplemente realizar los cálculos para las secciones que te interese, la tabla sólo te ahorra tiempo si estás usando cables de sección AWG.</a:t>
          </a:r>
        </a:p>
        <a:p>
          <a:endParaRPr lang="es-ES" sz="1400" baseline="0"/>
        </a:p>
        <a:p>
          <a:endParaRPr lang="es-ES" sz="1400" baseline="0"/>
        </a:p>
        <a:p>
          <a:r>
            <a:rPr lang="es-ES" sz="1600" b="1" baseline="0">
              <a:solidFill>
                <a:srgbClr val="00B0F0"/>
              </a:solidFill>
              <a:latin typeface="+mn-lt"/>
              <a:ea typeface="+mn-ea"/>
              <a:cs typeface="+mn-cs"/>
            </a:rPr>
            <a:t>¿Por qué no usamos siempre el cable de mayor sección y así las pérdidas son menores?</a:t>
          </a:r>
        </a:p>
        <a:p>
          <a:r>
            <a:rPr lang="es-ES" sz="1400" baseline="0"/>
            <a:t>- El incremento de peso y espacio necesario para el cable de mayor sección lo hace inviable en muchos casos.</a:t>
          </a:r>
        </a:p>
        <a:p>
          <a:r>
            <a:rPr lang="es-ES" sz="1400" baseline="0"/>
            <a:t>- El precio es más alto según se incrementa la sección del cable.</a:t>
          </a:r>
        </a:p>
        <a:p>
          <a:r>
            <a:rPr lang="es-ES" sz="1400" baseline="0"/>
            <a:t>- Los conectores también tendrían que ir en consonancia con el cable y serían más grandes y caros.</a:t>
          </a:r>
        </a:p>
        <a:p>
          <a:r>
            <a:rPr lang="es-ES" sz="1400" baseline="0"/>
            <a:t>- Un cable más grueso es también menos flexible.</a:t>
          </a:r>
        </a:p>
        <a:p>
          <a:endParaRPr lang="es-ES" sz="1400" baseline="0"/>
        </a:p>
        <a:p>
          <a:endParaRPr lang="es-ES" sz="1400" baseline="0"/>
        </a:p>
        <a:p>
          <a:r>
            <a:rPr lang="es-ES" sz="1400" baseline="0"/>
            <a:t>Es importante destacar que esta hoja de cálculo no tiene en cuenta los conectores y también ellos son un punto de pérdida de potencia. En este caso es más fácil porque las buenas tiendas siempre indican la intensidad máxima recomendada para cada conector. Los conectores son necesarios pero a veces se pueden eliminar y eso es una ventaja, muchas veces se utilizan adaptadores de conector para no tener que cambiar el conector de la batería o variador, al hacerlo estamos perdiendo un poco de potencia pero como se dijo más arriba depende de la aplicación y en un entrenador no es un problema pero en un avión de velocidad sería una pésima decisión utilizar un adaptador de conector.</a:t>
          </a:r>
        </a:p>
        <a:p>
          <a:endParaRPr lang="es-ES" sz="1400" baseline="0"/>
        </a:p>
        <a:p>
          <a:r>
            <a:rPr lang="es-ES" sz="1400" baseline="0"/>
            <a:t>Se incluyen un par de tablas que te darán una visión más amplia y te pueden ayudar a tomar la mejor decisión. También puedes imprimir los cálculos para estudiarlos más cómodamente.</a:t>
          </a:r>
          <a:endParaRPr lang="es-ES" sz="14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2:O108"/>
  <sheetViews>
    <sheetView showGridLines="0" tabSelected="1" view="pageBreakPreview" zoomScale="115" zoomScaleNormal="100" zoomScaleSheetLayoutView="115" workbookViewId="0">
      <selection activeCell="E8" sqref="E8"/>
    </sheetView>
  </sheetViews>
  <sheetFormatPr baseColWidth="10" defaultRowHeight="12.75" x14ac:dyDescent="0.2"/>
  <cols>
    <col min="1" max="1" width="10" customWidth="1"/>
    <col min="2" max="2" width="10.28515625" customWidth="1"/>
    <col min="3" max="3" width="9.140625" customWidth="1"/>
    <col min="4" max="4" width="11.5703125" customWidth="1"/>
    <col min="5" max="5" width="12.5703125" bestFit="1" customWidth="1"/>
    <col min="6" max="6" width="12" customWidth="1"/>
    <col min="7" max="7" width="11.28515625" customWidth="1"/>
  </cols>
  <sheetData>
    <row r="2" spans="1:15" ht="21.75" x14ac:dyDescent="0.3">
      <c r="A2" s="54" t="s">
        <v>77</v>
      </c>
      <c r="B2" s="54"/>
      <c r="C2" s="54"/>
      <c r="D2" s="54"/>
      <c r="E2" s="54"/>
      <c r="F2" s="54"/>
      <c r="G2" s="54"/>
      <c r="H2" s="54"/>
      <c r="I2" s="54"/>
    </row>
    <row r="3" spans="1:15" x14ac:dyDescent="0.2">
      <c r="A3" s="7"/>
      <c r="B3" s="14" t="s">
        <v>0</v>
      </c>
      <c r="C3" s="14"/>
    </row>
    <row r="4" spans="1:15" x14ac:dyDescent="0.2">
      <c r="B4" s="14"/>
      <c r="C4" s="14"/>
    </row>
    <row r="5" spans="1:15" ht="14.25" x14ac:dyDescent="0.2">
      <c r="D5" s="8" t="s">
        <v>23</v>
      </c>
      <c r="E5">
        <v>8.92</v>
      </c>
      <c r="F5" s="18" t="s">
        <v>36</v>
      </c>
    </row>
    <row r="6" spans="1:15" x14ac:dyDescent="0.2">
      <c r="D6" s="8" t="s">
        <v>1</v>
      </c>
      <c r="E6">
        <f>25.4*0.0000006787</f>
        <v>1.7238979999999997E-5</v>
      </c>
      <c r="F6" t="s">
        <v>2</v>
      </c>
    </row>
    <row r="7" spans="1:15" ht="15" thickBot="1" x14ac:dyDescent="0.25">
      <c r="D7" s="8" t="s">
        <v>24</v>
      </c>
      <c r="E7">
        <v>3</v>
      </c>
      <c r="F7" s="22" t="s">
        <v>53</v>
      </c>
    </row>
    <row r="8" spans="1:15" ht="13.5" thickBot="1" x14ac:dyDescent="0.25">
      <c r="D8" s="8" t="s">
        <v>3</v>
      </c>
      <c r="E8" s="48">
        <v>200</v>
      </c>
      <c r="F8" t="s">
        <v>4</v>
      </c>
    </row>
    <row r="9" spans="1:15" ht="13.5" thickBot="1" x14ac:dyDescent="0.25">
      <c r="D9" s="8" t="s">
        <v>52</v>
      </c>
      <c r="E9" s="49" t="s">
        <v>78</v>
      </c>
      <c r="F9" t="str">
        <f>IF(ISNUMBER(E9),"mm²","("&amp;ROUND(VLOOKUP(E9,M19:N28,2,FALSE),2)&amp;" mm²)")</f>
        <v>(8.37 mm²)</v>
      </c>
      <c r="M9" s="22" t="s">
        <v>72</v>
      </c>
    </row>
    <row r="10" spans="1:15" ht="13.5" thickBot="1" x14ac:dyDescent="0.25">
      <c r="D10" s="8" t="s">
        <v>31</v>
      </c>
      <c r="E10" s="48">
        <v>5</v>
      </c>
      <c r="F10" s="18" t="str">
        <f>"mm ("&amp;ROUND(diam_aislante/(2*SQRT(seccion_cobre/PI())),1)&amp;" veces el ø del cobre)"</f>
        <v>mm (1.5 veces el ø del cobre)</v>
      </c>
      <c r="M10" s="20">
        <f>diam_aislante/(2*SQRT(seccion_cobre/PI()))</f>
        <v>1.5316241871066196</v>
      </c>
      <c r="N10" s="22" t="s">
        <v>40</v>
      </c>
    </row>
    <row r="11" spans="1:15" ht="13.5" thickBot="1" x14ac:dyDescent="0.25">
      <c r="D11" s="8" t="s">
        <v>11</v>
      </c>
      <c r="E11" s="48">
        <v>4</v>
      </c>
      <c r="F11" t="s">
        <v>12</v>
      </c>
    </row>
    <row r="12" spans="1:15" x14ac:dyDescent="0.2">
      <c r="D12" s="8" t="s">
        <v>13</v>
      </c>
      <c r="E12" s="50" t="s">
        <v>60</v>
      </c>
      <c r="F12" t="str">
        <f>IF(ISNUMBER(E12),"V (necesario para calcular pérdida de potencia)","("&amp;ROUND(VLOOKUP(E12,M61:N74,2,FALSE),2)&amp;" V, necesario para calcular pérdida de potencia)")</f>
        <v>(22.2 V, necesario para calcular pérdida de potencia)</v>
      </c>
    </row>
    <row r="13" spans="1:15" ht="12" customHeight="1" x14ac:dyDescent="0.2">
      <c r="D13" s="8"/>
    </row>
    <row r="14" spans="1:15" ht="14.25" x14ac:dyDescent="0.2">
      <c r="D14" s="9" t="s">
        <v>5</v>
      </c>
      <c r="E14" s="1">
        <f>res_cobre*longitud/seccion_cobre</f>
        <v>4.1192305854241334E-4</v>
      </c>
      <c r="F14" s="1" t="s">
        <v>6</v>
      </c>
      <c r="G14" s="1"/>
      <c r="M14" s="26" t="s">
        <v>74</v>
      </c>
      <c r="N14" s="8">
        <f>IF(ISNUMBER(E9),E9,VLOOKUP(E9,M19:N28,2,FALSE))</f>
        <v>8.3699999999999992</v>
      </c>
      <c r="O14" s="22" t="s">
        <v>22</v>
      </c>
    </row>
    <row r="15" spans="1:15" x14ac:dyDescent="0.2">
      <c r="D15" s="9" t="s">
        <v>7</v>
      </c>
      <c r="E15" s="1">
        <f>1/Resistencia</f>
        <v>2427.637830080434</v>
      </c>
      <c r="F15" s="1" t="s">
        <v>8</v>
      </c>
      <c r="G15" s="1"/>
      <c r="M15" s="26" t="s">
        <v>75</v>
      </c>
      <c r="N15" s="23">
        <f>2*SQRT(N14/PI())</f>
        <v>3.2645083840347708</v>
      </c>
      <c r="O15" s="22" t="s">
        <v>25</v>
      </c>
    </row>
    <row r="16" spans="1:15" x14ac:dyDescent="0.2">
      <c r="D16" s="9" t="s">
        <v>41</v>
      </c>
      <c r="E16" s="10">
        <f>2*SQRT(seccion_cobre/PI())</f>
        <v>3.2645083840347708</v>
      </c>
      <c r="F16" s="1" t="s">
        <v>25</v>
      </c>
      <c r="G16" s="10"/>
      <c r="M16" s="26"/>
      <c r="N16" s="23"/>
      <c r="O16" s="22"/>
    </row>
    <row r="17" spans="1:15" x14ac:dyDescent="0.2">
      <c r="D17" s="9" t="s">
        <v>9</v>
      </c>
      <c r="E17" s="10">
        <f>(dens_cobre/1000)*longitud*seccion_cobre</f>
        <v>14.932079999999997</v>
      </c>
      <c r="F17" s="1" t="s">
        <v>35</v>
      </c>
      <c r="G17" s="1"/>
    </row>
    <row r="18" spans="1:15" ht="14.25" x14ac:dyDescent="0.2">
      <c r="D18" s="9" t="s">
        <v>10</v>
      </c>
      <c r="E18" s="10">
        <f>longitud*PI()*((diam_aislante/2)^2-(diam_cobre/2)^2)*dens_aislante/1000</f>
        <v>6.7589724509617266</v>
      </c>
      <c r="F18" s="1" t="s">
        <v>35</v>
      </c>
      <c r="G18" s="1"/>
      <c r="L18" s="28"/>
      <c r="M18" s="29" t="s">
        <v>51</v>
      </c>
      <c r="N18" s="30" t="s">
        <v>73</v>
      </c>
      <c r="O18" s="31"/>
    </row>
    <row r="19" spans="1:15" x14ac:dyDescent="0.2">
      <c r="D19" s="9" t="s">
        <v>80</v>
      </c>
      <c r="E19" s="10">
        <f>peso_cobre+peso_aislante</f>
        <v>21.691052450961724</v>
      </c>
      <c r="F19" s="1" t="s">
        <v>35</v>
      </c>
      <c r="G19" s="1"/>
      <c r="L19" s="32"/>
      <c r="M19" s="55" t="s">
        <v>78</v>
      </c>
      <c r="N19" s="55">
        <v>8.3699999999999992</v>
      </c>
      <c r="O19" s="33"/>
    </row>
    <row r="20" spans="1:15" ht="12.75" customHeight="1" x14ac:dyDescent="0.2">
      <c r="D20" s="9" t="s">
        <v>33</v>
      </c>
      <c r="E20" s="1">
        <f>Intensidad*tens_alim</f>
        <v>88.800000000000011</v>
      </c>
      <c r="F20" s="1" t="s">
        <v>17</v>
      </c>
      <c r="L20" s="32"/>
      <c r="M20" s="34" t="s">
        <v>42</v>
      </c>
      <c r="N20" s="27">
        <f>B63</f>
        <v>5.2603958365062793</v>
      </c>
      <c r="O20" s="33"/>
    </row>
    <row r="21" spans="1:15" ht="12" customHeight="1" x14ac:dyDescent="0.2">
      <c r="D21" s="9" t="s">
        <v>14</v>
      </c>
      <c r="E21" s="56">
        <f>Intensidad*Resistencia</f>
        <v>1.6476922341696534E-3</v>
      </c>
      <c r="F21" s="1" t="s">
        <v>15</v>
      </c>
      <c r="L21" s="32"/>
      <c r="M21" s="34" t="s">
        <v>43</v>
      </c>
      <c r="N21" s="27">
        <f>B66</f>
        <v>3.3103032476710355</v>
      </c>
      <c r="O21" s="33"/>
    </row>
    <row r="22" spans="1:15" ht="12.75" customHeight="1" x14ac:dyDescent="0.2">
      <c r="D22" s="9" t="s">
        <v>16</v>
      </c>
      <c r="E22" s="10">
        <f>caida_tension*Intensidad</f>
        <v>6.5907689366786135E-3</v>
      </c>
      <c r="F22" s="1" t="s">
        <v>17</v>
      </c>
      <c r="L22" s="32"/>
      <c r="M22" s="34" t="s">
        <v>44</v>
      </c>
      <c r="N22" s="27">
        <f>B73</f>
        <v>2.0803282940375123</v>
      </c>
      <c r="O22" s="33"/>
    </row>
    <row r="23" spans="1:15" x14ac:dyDescent="0.2">
      <c r="D23" s="46" t="s">
        <v>34</v>
      </c>
      <c r="E23" s="47">
        <f>potencia_perdida/potencia_entrada</f>
        <v>7.4220370908542938E-5</v>
      </c>
      <c r="F23" s="1"/>
      <c r="G23" s="1"/>
      <c r="L23" s="32"/>
      <c r="M23" s="34" t="s">
        <v>45</v>
      </c>
      <c r="N23" s="27">
        <f>B77</f>
        <v>1.3100223417479098</v>
      </c>
      <c r="O23" s="33"/>
    </row>
    <row r="24" spans="1:15" x14ac:dyDescent="0.2">
      <c r="D24" s="46"/>
      <c r="E24" s="47"/>
      <c r="F24" s="1"/>
      <c r="G24" s="1"/>
      <c r="L24" s="32"/>
      <c r="M24" s="34" t="s">
        <v>46</v>
      </c>
      <c r="N24" s="27">
        <f>B82</f>
        <v>0.82033581529802035</v>
      </c>
      <c r="O24" s="33"/>
    </row>
    <row r="25" spans="1:15" x14ac:dyDescent="0.2">
      <c r="D25" s="46"/>
      <c r="E25" s="47"/>
      <c r="F25" s="1"/>
      <c r="G25" s="1"/>
      <c r="L25" s="32"/>
      <c r="M25" s="34" t="s">
        <v>47</v>
      </c>
      <c r="N25" s="27">
        <f>B87</f>
        <v>0.52040168147449561</v>
      </c>
      <c r="O25" s="33"/>
    </row>
    <row r="26" spans="1:15" x14ac:dyDescent="0.2">
      <c r="G26" s="1"/>
      <c r="L26" s="32"/>
      <c r="M26" s="34" t="s">
        <v>48</v>
      </c>
      <c r="N26" s="27">
        <f>B90</f>
        <v>0.32979183040324211</v>
      </c>
      <c r="O26" s="33"/>
    </row>
    <row r="27" spans="1:15" x14ac:dyDescent="0.2">
      <c r="A27" s="22" t="s">
        <v>90</v>
      </c>
      <c r="L27" s="32"/>
      <c r="M27" s="34" t="s">
        <v>49</v>
      </c>
      <c r="N27" s="27">
        <f>B94</f>
        <v>0.20992828969634056</v>
      </c>
      <c r="O27" s="33"/>
    </row>
    <row r="28" spans="1:15" x14ac:dyDescent="0.2">
      <c r="A28" s="65" t="s">
        <v>79</v>
      </c>
      <c r="B28" s="65"/>
      <c r="C28" s="66" t="s">
        <v>82</v>
      </c>
      <c r="D28" s="65" t="s">
        <v>86</v>
      </c>
      <c r="E28" s="65"/>
      <c r="F28" s="65"/>
      <c r="G28" s="67" t="s">
        <v>88</v>
      </c>
      <c r="H28" s="67" t="s">
        <v>89</v>
      </c>
      <c r="I28" s="68" t="s">
        <v>20</v>
      </c>
      <c r="L28" s="35"/>
      <c r="M28" s="36" t="s">
        <v>50</v>
      </c>
      <c r="N28" s="37">
        <f>B96</f>
        <v>0.1301004203686239</v>
      </c>
      <c r="O28" s="38"/>
    </row>
    <row r="29" spans="1:15" ht="14.25" x14ac:dyDescent="0.2">
      <c r="A29" s="69" t="s">
        <v>32</v>
      </c>
      <c r="B29" s="69" t="s">
        <v>81</v>
      </c>
      <c r="C29" s="70" t="s">
        <v>25</v>
      </c>
      <c r="D29" s="69" t="s">
        <v>83</v>
      </c>
      <c r="E29" s="69" t="s">
        <v>84</v>
      </c>
      <c r="F29" s="69" t="s">
        <v>85</v>
      </c>
      <c r="G29" s="67"/>
      <c r="H29" s="67" t="s">
        <v>87</v>
      </c>
      <c r="I29" s="68" t="s">
        <v>20</v>
      </c>
      <c r="L29" s="64"/>
      <c r="M29" s="34"/>
      <c r="N29" s="27"/>
      <c r="O29" s="64"/>
    </row>
    <row r="30" spans="1:15" x14ac:dyDescent="0.2">
      <c r="A30" s="57" t="s">
        <v>50</v>
      </c>
      <c r="B30" s="58">
        <f>VLOOKUP(A30,lista_secciones,2,FALSE)</f>
        <v>0.1301004203686239</v>
      </c>
      <c r="C30" s="58">
        <f>2*SQRT(B30/PI())</f>
        <v>0.40699999999999997</v>
      </c>
      <c r="D30" s="58">
        <f>(dens_cobre/1000)*longitud*B30</f>
        <v>0.23209914993762501</v>
      </c>
      <c r="E30" s="58">
        <f>longitud*PI()*((relac_diámetros*C30/2)^2-(C30/2)^2)*dens_aislante/1000</f>
        <v>0.10505915855795331</v>
      </c>
      <c r="F30" s="58">
        <f>SUM(D30:E30)</f>
        <v>0.33715830849557832</v>
      </c>
      <c r="G30" s="59">
        <f>Intensidad*res_cobre*longitud/B30</f>
        <v>0.10600414634268157</v>
      </c>
      <c r="H30" s="58">
        <f>G30*Intensidad</f>
        <v>0.42401658537072628</v>
      </c>
      <c r="I30" s="60">
        <f>H30/potencia_entrada</f>
        <v>4.7749615469676382E-3</v>
      </c>
      <c r="L30" s="64"/>
      <c r="M30" s="34"/>
      <c r="N30" s="27"/>
      <c r="O30" s="64"/>
    </row>
    <row r="31" spans="1:15" x14ac:dyDescent="0.2">
      <c r="A31" s="61" t="s">
        <v>49</v>
      </c>
      <c r="B31" s="5">
        <f>VLOOKUP(A31,lista_secciones,2,FALSE)</f>
        <v>0.20992828969634056</v>
      </c>
      <c r="C31" s="5">
        <f t="shared" ref="C31:C38" si="0">2*SQRT(B31/PI())</f>
        <v>0.51700000000000002</v>
      </c>
      <c r="D31" s="5">
        <f>(dens_cobre/1000)*longitud*B31</f>
        <v>0.37451206881827154</v>
      </c>
      <c r="E31" s="5">
        <f>longitud*PI()*((relac_diámetros*C31/2)^2-(C31/2)^2)*dens_aislante/1000</f>
        <v>0.16952204620490791</v>
      </c>
      <c r="F31" s="5">
        <f t="shared" ref="F31:F38" si="1">SUM(D31:E31)</f>
        <v>0.54403411502317944</v>
      </c>
      <c r="G31" s="62">
        <f>Intensidad*res_cobre*longitud/B31</f>
        <v>6.5694738045781367E-2</v>
      </c>
      <c r="H31" s="5">
        <f>G31*Intensidad</f>
        <v>0.26277895218312547</v>
      </c>
      <c r="I31" s="63">
        <f>H31/potencia_entrada</f>
        <v>2.9592224344946556E-3</v>
      </c>
      <c r="L31" s="64"/>
      <c r="M31" s="34"/>
      <c r="N31" s="27"/>
      <c r="O31" s="64"/>
    </row>
    <row r="32" spans="1:15" x14ac:dyDescent="0.2">
      <c r="A32" s="61" t="s">
        <v>47</v>
      </c>
      <c r="B32" s="5">
        <f>VLOOKUP(A32,lista_secciones,2,FALSE)</f>
        <v>0.52040168147449561</v>
      </c>
      <c r="C32" s="5">
        <f t="shared" si="0"/>
        <v>0.81399999999999995</v>
      </c>
      <c r="D32" s="5">
        <f>(dens_cobre/1000)*longitud*B32</f>
        <v>0.92839659975050004</v>
      </c>
      <c r="E32" s="5">
        <f>longitud*PI()*((relac_diámetros*C32/2)^2-(C32/2)^2)*dens_aislante/1000</f>
        <v>0.42023663423181323</v>
      </c>
      <c r="F32" s="5">
        <f t="shared" si="1"/>
        <v>1.3486332339823133</v>
      </c>
      <c r="G32" s="62">
        <f>Intensidad*res_cobre*longitud/B32</f>
        <v>2.6501036585670393E-2</v>
      </c>
      <c r="H32" s="5">
        <f>G32*Intensidad</f>
        <v>0.10600414634268157</v>
      </c>
      <c r="I32" s="63">
        <f>H32/potencia_entrada</f>
        <v>1.1937403867419095E-3</v>
      </c>
      <c r="L32" s="64"/>
      <c r="M32" s="34"/>
      <c r="N32" s="27"/>
      <c r="O32" s="64"/>
    </row>
    <row r="33" spans="1:15" x14ac:dyDescent="0.2">
      <c r="A33" s="61" t="s">
        <v>46</v>
      </c>
      <c r="B33" s="5">
        <f>VLOOKUP(A33,lista_secciones,2,FALSE)</f>
        <v>0.82033581529802035</v>
      </c>
      <c r="C33" s="5">
        <f t="shared" si="0"/>
        <v>1.022</v>
      </c>
      <c r="D33" s="5">
        <f>(dens_cobre/1000)*longitud*B33</f>
        <v>1.4634790944916682</v>
      </c>
      <c r="E33" s="5">
        <f>longitud*PI()*((relac_diámetros*C33/2)^2-(C33/2)^2)*dens_aislante/1000</f>
        <v>0.6624405228359076</v>
      </c>
      <c r="F33" s="5">
        <f t="shared" si="1"/>
        <v>2.1259196173275758</v>
      </c>
      <c r="G33" s="62">
        <f>Intensidad*res_cobre*longitud/B33</f>
        <v>1.6811632191128689E-2</v>
      </c>
      <c r="H33" s="5">
        <f>G33*Intensidad</f>
        <v>6.7246528764514757E-2</v>
      </c>
      <c r="I33" s="63">
        <f>H33/potencia_entrada</f>
        <v>7.5728072933012108E-4</v>
      </c>
      <c r="L33" s="64"/>
      <c r="M33" s="34"/>
      <c r="N33" s="27"/>
      <c r="O33" s="64"/>
    </row>
    <row r="34" spans="1:15" x14ac:dyDescent="0.2">
      <c r="A34" s="61" t="s">
        <v>45</v>
      </c>
      <c r="B34" s="5">
        <f>VLOOKUP(A34,lista_secciones,2,FALSE)</f>
        <v>1.3100223417479098</v>
      </c>
      <c r="C34" s="5">
        <f t="shared" si="0"/>
        <v>1.2915000000000001</v>
      </c>
      <c r="D34" s="5">
        <f>(dens_cobre/1000)*longitud*B34</f>
        <v>2.3370798576782708</v>
      </c>
      <c r="E34" s="5">
        <f>longitud*PI()*((relac_diámetros*C34/2)^2-(C34/2)^2)*dens_aislante/1000</f>
        <v>1.0578739448050765</v>
      </c>
      <c r="F34" s="5">
        <f t="shared" si="1"/>
        <v>3.3949538024833474</v>
      </c>
      <c r="G34" s="62">
        <f>Intensidad*res_cobre*longitud/B34</f>
        <v>1.0527441830953036E-2</v>
      </c>
      <c r="H34" s="5">
        <f>G34*Intensidad</f>
        <v>4.2109767323812143E-2</v>
      </c>
      <c r="I34" s="63">
        <f>H34/potencia_entrada</f>
        <v>4.7420909148437093E-4</v>
      </c>
      <c r="L34" s="64"/>
      <c r="M34" s="34"/>
      <c r="N34" s="27"/>
      <c r="O34" s="64"/>
    </row>
    <row r="35" spans="1:15" x14ac:dyDescent="0.2">
      <c r="A35" s="61" t="s">
        <v>44</v>
      </c>
      <c r="B35" s="5">
        <f>VLOOKUP(A35,lista_secciones,2,FALSE)</f>
        <v>2.0803282940375123</v>
      </c>
      <c r="C35" s="5">
        <f t="shared" si="0"/>
        <v>1.6274999999999999</v>
      </c>
      <c r="D35" s="5">
        <f>(dens_cobre/1000)*longitud*B35</f>
        <v>3.7113056765629215</v>
      </c>
      <c r="E35" s="5">
        <f>longitud*PI()*((relac_diámetros*C35/2)^2-(C35/2)^2)*dens_aislante/1000</f>
        <v>1.679914173041309</v>
      </c>
      <c r="F35" s="5">
        <f t="shared" si="1"/>
        <v>5.3912198496042301</v>
      </c>
      <c r="G35" s="62">
        <f>Intensidad*res_cobre*longitud/B35</f>
        <v>6.6293305914875552E-3</v>
      </c>
      <c r="H35" s="5">
        <f>G35*Intensidad</f>
        <v>2.6517322365950221E-2</v>
      </c>
      <c r="I35" s="63">
        <f>H35/potencia_entrada</f>
        <v>2.98618495112052E-4</v>
      </c>
      <c r="L35" s="64"/>
      <c r="M35" s="34"/>
      <c r="N35" s="27"/>
      <c r="O35" s="64"/>
    </row>
    <row r="36" spans="1:15" x14ac:dyDescent="0.2">
      <c r="A36" s="61" t="s">
        <v>43</v>
      </c>
      <c r="B36" s="5">
        <f>VLOOKUP(A36,lista_secciones,2,FALSE)</f>
        <v>3.3103032476710355</v>
      </c>
      <c r="C36" s="5">
        <f t="shared" si="0"/>
        <v>2.0529999999999999</v>
      </c>
      <c r="D36" s="5">
        <f>(dens_cobre/1000)*longitud*B36</f>
        <v>5.9055809938451267</v>
      </c>
      <c r="E36" s="5">
        <f>longitud*PI()*((relac_diámetros*C36/2)^2-(C36/2)^2)*dens_aislante/1000</f>
        <v>2.6731479636006776</v>
      </c>
      <c r="F36" s="5">
        <f t="shared" si="1"/>
        <v>8.5787289574458043</v>
      </c>
      <c r="G36" s="62">
        <f>Intensidad*res_cobre*longitud/B36</f>
        <v>4.1661391625382928E-3</v>
      </c>
      <c r="H36" s="5">
        <f>G36*Intensidad</f>
        <v>1.6664556650153171E-2</v>
      </c>
      <c r="I36" s="63">
        <f>H36/potencia_entrada</f>
        <v>1.8766392624046361E-4</v>
      </c>
      <c r="L36" s="64"/>
      <c r="M36" s="34"/>
      <c r="N36" s="27"/>
      <c r="O36" s="64"/>
    </row>
    <row r="37" spans="1:15" x14ac:dyDescent="0.2">
      <c r="A37" s="61" t="s">
        <v>42</v>
      </c>
      <c r="B37" s="5">
        <f>VLOOKUP(A37,lista_secciones,2,FALSE)</f>
        <v>5.2603958365062793</v>
      </c>
      <c r="C37" s="5">
        <f t="shared" si="0"/>
        <v>2.5880000000000001</v>
      </c>
      <c r="D37" s="5">
        <f>(dens_cobre/1000)*longitud*B37</f>
        <v>9.3845461723272017</v>
      </c>
      <c r="E37" s="5">
        <f>longitud*PI()*((relac_diámetros*C37/2)^2-(C37/2)^2)*dens_aislante/1000</f>
        <v>4.2478937323894534</v>
      </c>
      <c r="F37" s="5">
        <f t="shared" si="1"/>
        <v>13.632439904716655</v>
      </c>
      <c r="G37" s="62">
        <f>Intensidad*res_cobre*longitud/B37</f>
        <v>2.6217008051545201E-3</v>
      </c>
      <c r="H37" s="5">
        <f>G37*Intensidad</f>
        <v>1.048680322061808E-2</v>
      </c>
      <c r="I37" s="63">
        <f>H37/potencia_entrada</f>
        <v>1.1809463086281621E-4</v>
      </c>
      <c r="L37" s="64"/>
      <c r="M37" s="34"/>
      <c r="N37" s="27"/>
      <c r="O37" s="64"/>
    </row>
    <row r="38" spans="1:15" x14ac:dyDescent="0.2">
      <c r="A38" s="61" t="s">
        <v>78</v>
      </c>
      <c r="B38" s="5">
        <f>VLOOKUP(A38,lista_secciones,2,FALSE)</f>
        <v>8.3699999999999992</v>
      </c>
      <c r="C38" s="5">
        <f t="shared" si="0"/>
        <v>3.2645083840347708</v>
      </c>
      <c r="D38" s="5">
        <f>(dens_cobre/1000)*longitud*B38</f>
        <v>14.932079999999997</v>
      </c>
      <c r="E38" s="5">
        <f>longitud*PI()*((relac_diámetros*C38/2)^2-(C38/2)^2)*dens_aislante/1000</f>
        <v>6.7589724509617266</v>
      </c>
      <c r="F38" s="5">
        <f t="shared" si="1"/>
        <v>21.691052450961724</v>
      </c>
      <c r="G38" s="62">
        <f>Intensidad*res_cobre*longitud/B38</f>
        <v>1.6476922341696534E-3</v>
      </c>
      <c r="H38" s="5">
        <f>G38*Intensidad</f>
        <v>6.5907689366786135E-3</v>
      </c>
      <c r="I38" s="63">
        <f>H38/potencia_entrada</f>
        <v>7.4220370908542938E-5</v>
      </c>
      <c r="L38" s="64"/>
      <c r="M38" s="34"/>
      <c r="N38" s="27"/>
      <c r="O38" s="64"/>
    </row>
    <row r="39" spans="1:15" x14ac:dyDescent="0.2">
      <c r="A39" t="str">
        <f>"Nota: en esta tabla se presupone un aislante de silicona con diámetro exterior "&amp;ROUND(relac_diámetros,1)&amp;" veces el del núcleo de cobre."</f>
        <v>Nota: en esta tabla se presupone un aislante de silicona con diámetro exterior 1.5 veces el del núcleo de cobre.</v>
      </c>
      <c r="L39" s="64"/>
      <c r="M39" s="34"/>
      <c r="N39" s="27"/>
      <c r="O39" s="64"/>
    </row>
    <row r="40" spans="1:15" x14ac:dyDescent="0.2">
      <c r="A40" t="s">
        <v>76</v>
      </c>
      <c r="L40" s="64"/>
      <c r="M40" s="34"/>
      <c r="N40" s="27"/>
      <c r="O40" s="64"/>
    </row>
    <row r="41" spans="1:15" x14ac:dyDescent="0.2">
      <c r="M41" s="24"/>
      <c r="N41" s="25"/>
    </row>
    <row r="42" spans="1:15" x14ac:dyDescent="0.2">
      <c r="M42" s="24"/>
      <c r="N42" s="25"/>
    </row>
    <row r="44" spans="1:15" x14ac:dyDescent="0.2">
      <c r="A44" s="19" t="s">
        <v>92</v>
      </c>
    </row>
    <row r="45" spans="1:15" x14ac:dyDescent="0.2">
      <c r="A45" s="19" t="str">
        <f>"Se asume un conductor de "&amp;longitud&amp;" mm de longitud, este dato se puede cambiar al principio de esta hoja."</f>
        <v>Se asume un conductor de 200 mm de longitud, este dato se puede cambiar al principio de esta hoja.</v>
      </c>
    </row>
    <row r="46" spans="1:15" x14ac:dyDescent="0.2">
      <c r="D46" s="51" t="s">
        <v>18</v>
      </c>
      <c r="E46" s="52"/>
      <c r="F46" s="52"/>
      <c r="G46" s="52"/>
      <c r="H46" s="53"/>
    </row>
    <row r="47" spans="1:15" x14ac:dyDescent="0.2">
      <c r="C47" s="9" t="s">
        <v>19</v>
      </c>
      <c r="D47" s="2">
        <v>1</v>
      </c>
      <c r="E47" s="2">
        <v>2</v>
      </c>
      <c r="F47" s="2">
        <v>3</v>
      </c>
      <c r="G47" s="2">
        <v>4</v>
      </c>
      <c r="H47" s="2">
        <v>5</v>
      </c>
    </row>
    <row r="48" spans="1:15" x14ac:dyDescent="0.2">
      <c r="C48" s="9" t="s">
        <v>20</v>
      </c>
      <c r="D48" s="3">
        <f>100*D47/(tens_alim*D49)</f>
        <v>9.1422917679803734E-2</v>
      </c>
      <c r="E48" s="3">
        <f>100*E47/(tens_alim*E49)</f>
        <v>0.12929153009449743</v>
      </c>
      <c r="F48" s="3">
        <f>100*F47/(tens_alim*F49)</f>
        <v>0.15834913839760703</v>
      </c>
      <c r="G48" s="3">
        <f>100*G47/(tens_alim*G49)</f>
        <v>0.18284583535960747</v>
      </c>
      <c r="H48" s="3">
        <f>100*H47/(tens_alim*H49)</f>
        <v>0.20442785863340845</v>
      </c>
    </row>
    <row r="49" spans="1:15" x14ac:dyDescent="0.2">
      <c r="C49" s="9" t="s">
        <v>21</v>
      </c>
      <c r="D49" s="3">
        <f>SQRT(D47/Resistencia)</f>
        <v>49.271064836072235</v>
      </c>
      <c r="E49" s="3">
        <f>SQRT(E47/Resistencia)</f>
        <v>69.679808123737459</v>
      </c>
      <c r="F49" s="3">
        <f>SQRT(F47/Resistencia)</f>
        <v>85.33998763909743</v>
      </c>
      <c r="G49" s="3">
        <f>SQRT(G47/Resistencia)</f>
        <v>98.542129672144469</v>
      </c>
      <c r="H49" s="3">
        <f>SQRT(H47/Resistencia)</f>
        <v>110.17345029725706</v>
      </c>
    </row>
    <row r="51" spans="1:15" x14ac:dyDescent="0.2">
      <c r="C51" s="9" t="s">
        <v>19</v>
      </c>
      <c r="D51" s="2">
        <v>6</v>
      </c>
      <c r="E51" s="2">
        <v>7</v>
      </c>
      <c r="F51" s="2">
        <v>8</v>
      </c>
      <c r="G51" s="2">
        <v>9</v>
      </c>
      <c r="H51" s="2">
        <v>10</v>
      </c>
    </row>
    <row r="52" spans="1:15" x14ac:dyDescent="0.2">
      <c r="C52" s="9" t="s">
        <v>20</v>
      </c>
      <c r="D52" s="3">
        <f>100*D51/(tens_alim*D53)</f>
        <v>0.2239394991119901</v>
      </c>
      <c r="E52" s="3">
        <f>100*E51/(tens_alim*E53)</f>
        <v>0.24188230431269081</v>
      </c>
      <c r="F52" s="3">
        <f>100*F51/(tens_alim*F53)</f>
        <v>0.25858306018899485</v>
      </c>
      <c r="G52" s="3">
        <f>100*G51/(tens_alim*G53)</f>
        <v>0.27426875303941117</v>
      </c>
      <c r="H52" s="3">
        <f>100*H51/(tens_alim*H53)</f>
        <v>0.28910465020625609</v>
      </c>
    </row>
    <row r="53" spans="1:15" x14ac:dyDescent="0.2">
      <c r="C53" s="9" t="s">
        <v>21</v>
      </c>
      <c r="D53" s="3">
        <f>SQRT(D51/Resistencia)</f>
        <v>120.68896793196387</v>
      </c>
      <c r="E53" s="3">
        <f>SQRT(E51/Resistencia)</f>
        <v>130.35898438758659</v>
      </c>
      <c r="F53" s="3">
        <f>SQRT(F51/Resistencia)</f>
        <v>139.35961624747492</v>
      </c>
      <c r="G53" s="3">
        <f>SQRT(G51/Resistencia)</f>
        <v>147.81319450821672</v>
      </c>
      <c r="H53" s="3">
        <f>SQRT(H51/Resistencia)</f>
        <v>155.80878762381903</v>
      </c>
    </row>
    <row r="54" spans="1:15" x14ac:dyDescent="0.2">
      <c r="D54" s="9"/>
      <c r="E54" s="27"/>
      <c r="F54" s="27"/>
      <c r="G54" s="27"/>
      <c r="H54" s="27"/>
      <c r="I54" s="27"/>
    </row>
    <row r="55" spans="1:15" x14ac:dyDescent="0.2">
      <c r="D55" s="9"/>
      <c r="E55" s="27"/>
      <c r="F55" s="27"/>
      <c r="G55" s="27"/>
      <c r="H55" s="27"/>
      <c r="I55" s="27"/>
    </row>
    <row r="56" spans="1:15" x14ac:dyDescent="0.2">
      <c r="A56" s="71" t="s">
        <v>91</v>
      </c>
      <c r="B56" s="71"/>
      <c r="C56" s="71"/>
      <c r="D56" s="71"/>
      <c r="E56" s="71"/>
      <c r="F56" s="71"/>
      <c r="G56" s="71"/>
      <c r="H56" s="71"/>
      <c r="I56" s="71"/>
    </row>
    <row r="57" spans="1:15" x14ac:dyDescent="0.2">
      <c r="A57" s="72"/>
      <c r="B57" s="72"/>
      <c r="C57" s="72"/>
      <c r="D57" s="72"/>
      <c r="E57" s="72"/>
      <c r="F57" s="72"/>
      <c r="G57" s="72"/>
      <c r="H57" s="72"/>
      <c r="I57" s="72"/>
      <c r="M57" s="26" t="s">
        <v>71</v>
      </c>
      <c r="N57" s="8">
        <f>IF(ISNUMBER(E12),E12,VLOOKUP(E12,M61:N74,2,FALSE))</f>
        <v>22.200000000000003</v>
      </c>
      <c r="O57" s="22" t="s">
        <v>15</v>
      </c>
    </row>
    <row r="58" spans="1:15" ht="48" x14ac:dyDescent="0.2">
      <c r="A58" s="15" t="s">
        <v>28</v>
      </c>
      <c r="B58" s="15" t="s">
        <v>29</v>
      </c>
      <c r="C58" s="15" t="s">
        <v>32</v>
      </c>
      <c r="D58" s="16" t="s">
        <v>26</v>
      </c>
      <c r="E58" s="16" t="s">
        <v>27</v>
      </c>
      <c r="F58" s="15" t="s">
        <v>30</v>
      </c>
      <c r="G58" s="15" t="s">
        <v>37</v>
      </c>
      <c r="H58" s="16" t="s">
        <v>38</v>
      </c>
      <c r="I58" s="16" t="s">
        <v>39</v>
      </c>
    </row>
    <row r="59" spans="1:15" x14ac:dyDescent="0.2">
      <c r="A59" s="5">
        <v>4</v>
      </c>
      <c r="B59" s="3">
        <f t="shared" ref="B59:B106" si="2">PI()*(A59/2)^2</f>
        <v>12.566370614359172</v>
      </c>
      <c r="C59" s="4"/>
      <c r="D59" s="5">
        <f>SQRT(2/(F59/2))</f>
        <v>53.998182800725722</v>
      </c>
      <c r="E59" s="5">
        <f>SQRT(5/(F59/2))</f>
        <v>85.378623580211681</v>
      </c>
      <c r="F59" s="6">
        <f t="shared" ref="F59:F106" si="3">res_cobre*1000/B59</f>
        <v>1.3718344404311609E-3</v>
      </c>
      <c r="G59" s="3">
        <f t="shared" ref="G59:G106" si="4">(dens_cobre/1000)*B59*1000</f>
        <v>112.09202588008381</v>
      </c>
      <c r="H59" s="3">
        <f t="shared" ref="H59:H106" si="5">PI()*((relac_diámetros*A59/2)^2-(A59/2)^2)*dens_aislante</f>
        <v>50.738203578870156</v>
      </c>
      <c r="I59" s="3">
        <f t="shared" ref="I59:I106" si="6">G59+H59</f>
        <v>162.83022945895397</v>
      </c>
      <c r="L59" s="28"/>
      <c r="M59" s="39" t="s">
        <v>54</v>
      </c>
      <c r="N59" s="31"/>
    </row>
    <row r="60" spans="1:15" x14ac:dyDescent="0.2">
      <c r="A60" s="5">
        <v>3.5</v>
      </c>
      <c r="B60" s="3">
        <f t="shared" si="2"/>
        <v>9.6211275016187408</v>
      </c>
      <c r="C60" s="4"/>
      <c r="D60" s="5">
        <f t="shared" ref="D60:D106" si="7">SQRT(2/(F60/2))</f>
        <v>47.248409950635008</v>
      </c>
      <c r="E60" s="5">
        <f t="shared" ref="E60:E106" si="8">SQRT(5/(F60/2))</f>
        <v>74.706295632685226</v>
      </c>
      <c r="F60" s="6">
        <f t="shared" si="3"/>
        <v>1.7917837589304958E-3</v>
      </c>
      <c r="G60" s="3">
        <f t="shared" si="4"/>
        <v>85.820457314439153</v>
      </c>
      <c r="H60" s="3">
        <f t="shared" si="5"/>
        <v>38.846437115072476</v>
      </c>
      <c r="I60" s="3">
        <f t="shared" si="6"/>
        <v>124.66689442951163</v>
      </c>
      <c r="L60" s="32"/>
      <c r="M60" s="40" t="s">
        <v>69</v>
      </c>
      <c r="N60" s="41" t="s">
        <v>70</v>
      </c>
    </row>
    <row r="61" spans="1:15" x14ac:dyDescent="0.2">
      <c r="A61" s="11">
        <v>3.2650000000000001</v>
      </c>
      <c r="B61" s="21">
        <f t="shared" si="2"/>
        <v>8.372521136403563</v>
      </c>
      <c r="C61" s="17">
        <v>8</v>
      </c>
      <c r="D61" s="11">
        <f>SQRT(2/(F61/2))</f>
        <v>44.076016711092372</v>
      </c>
      <c r="E61" s="11">
        <f>SQRT(5/(F61/2))</f>
        <v>69.690301497347789</v>
      </c>
      <c r="F61" s="12">
        <f t="shared" ref="F61" si="9">res_cobre*1000/B61</f>
        <v>2.0589951006567474E-3</v>
      </c>
      <c r="G61" s="13">
        <f t="shared" ref="G61" si="10">(dens_cobre/1000)*B61*1000</f>
        <v>74.682888536719773</v>
      </c>
      <c r="H61" s="13">
        <f t="shared" ref="H61" si="11">PI()*((relac_diámetros*A61/2)^2-(A61/2)^2)*dens_aislante</f>
        <v>33.80504164041006</v>
      </c>
      <c r="I61" s="13">
        <f>G61+H61</f>
        <v>108.48793017712984</v>
      </c>
      <c r="L61" s="32"/>
      <c r="M61" s="42" t="s">
        <v>55</v>
      </c>
      <c r="N61" s="43">
        <f>LEFT(M61,LEN(M61)-1)*3.7</f>
        <v>3.7</v>
      </c>
    </row>
    <row r="62" spans="1:15" x14ac:dyDescent="0.2">
      <c r="A62" s="5">
        <v>3</v>
      </c>
      <c r="B62" s="3">
        <f t="shared" si="2"/>
        <v>7.0685834705770345</v>
      </c>
      <c r="C62" s="4"/>
      <c r="D62" s="5">
        <f t="shared" si="7"/>
        <v>40.498637100544293</v>
      </c>
      <c r="E62" s="5">
        <f t="shared" si="8"/>
        <v>64.033967685158771</v>
      </c>
      <c r="F62" s="6">
        <f t="shared" si="3"/>
        <v>2.4388167829887302E-3</v>
      </c>
      <c r="G62" s="3">
        <f t="shared" si="4"/>
        <v>63.051764557547145</v>
      </c>
      <c r="H62" s="3">
        <f t="shared" si="5"/>
        <v>28.540239513114457</v>
      </c>
      <c r="I62" s="3">
        <f t="shared" si="6"/>
        <v>91.592004070661602</v>
      </c>
      <c r="L62" s="32"/>
      <c r="M62" s="42" t="s">
        <v>56</v>
      </c>
      <c r="N62" s="43">
        <f t="shared" ref="N62:N74" si="12">LEFT(M62,LEN(M62)-1)*3.7</f>
        <v>7.4</v>
      </c>
    </row>
    <row r="63" spans="1:15" x14ac:dyDescent="0.2">
      <c r="A63" s="11">
        <v>2.5880000000000001</v>
      </c>
      <c r="B63" s="21">
        <f>PI()*(A63/2)^2</f>
        <v>5.2603958365062793</v>
      </c>
      <c r="C63" s="17">
        <v>10</v>
      </c>
      <c r="D63" s="11">
        <f>SQRT(2/(F63/2))</f>
        <v>34.936824272069543</v>
      </c>
      <c r="E63" s="11">
        <f>SQRT(5/(F63/2))</f>
        <v>55.239969456396963</v>
      </c>
      <c r="F63" s="12">
        <f t="shared" si="3"/>
        <v>3.2771260064431503E-3</v>
      </c>
      <c r="G63" s="13">
        <f t="shared" si="4"/>
        <v>46.922730861636012</v>
      </c>
      <c r="H63" s="13">
        <f t="shared" si="5"/>
        <v>21.239468661947264</v>
      </c>
      <c r="I63" s="13">
        <f>G63+H63</f>
        <v>68.162199523583269</v>
      </c>
      <c r="L63" s="32"/>
      <c r="M63" s="42" t="s">
        <v>57</v>
      </c>
      <c r="N63" s="43">
        <f t="shared" si="12"/>
        <v>11.100000000000001</v>
      </c>
    </row>
    <row r="64" spans="1:15" x14ac:dyDescent="0.2">
      <c r="A64" s="5">
        <v>2.5</v>
      </c>
      <c r="B64" s="3">
        <f t="shared" si="2"/>
        <v>4.908738521234052</v>
      </c>
      <c r="C64" s="4"/>
      <c r="D64" s="5">
        <f t="shared" si="7"/>
        <v>33.748864250453579</v>
      </c>
      <c r="E64" s="5">
        <f t="shared" si="8"/>
        <v>53.361639737632302</v>
      </c>
      <c r="F64" s="6">
        <f t="shared" si="3"/>
        <v>3.5118961675037713E-3</v>
      </c>
      <c r="G64" s="3">
        <f t="shared" si="4"/>
        <v>43.785947609407735</v>
      </c>
      <c r="H64" s="3">
        <f t="shared" si="5"/>
        <v>19.819610772996157</v>
      </c>
      <c r="I64" s="3">
        <f t="shared" si="6"/>
        <v>63.605558382403892</v>
      </c>
      <c r="L64" s="32"/>
      <c r="M64" s="42" t="s">
        <v>58</v>
      </c>
      <c r="N64" s="43">
        <f t="shared" si="12"/>
        <v>14.8</v>
      </c>
    </row>
    <row r="65" spans="1:14" x14ac:dyDescent="0.2">
      <c r="A65" s="5">
        <v>2.2568000000000001</v>
      </c>
      <c r="B65" s="3">
        <f t="shared" si="2"/>
        <v>4.0001477028106196</v>
      </c>
      <c r="C65" s="4"/>
      <c r="D65" s="5">
        <f t="shared" si="7"/>
        <v>30.465774736169454</v>
      </c>
      <c r="E65" s="5">
        <f t="shared" si="8"/>
        <v>48.170619423955436</v>
      </c>
      <c r="F65" s="6">
        <f t="shared" si="3"/>
        <v>4.3095858655137634E-3</v>
      </c>
      <c r="G65" s="3">
        <f t="shared" si="4"/>
        <v>35.681317509070723</v>
      </c>
      <c r="H65" s="3">
        <f t="shared" si="5"/>
        <v>16.151068173879821</v>
      </c>
      <c r="I65" s="3">
        <f>G65+H65</f>
        <v>51.832385682950544</v>
      </c>
      <c r="L65" s="32"/>
      <c r="M65" s="42" t="s">
        <v>59</v>
      </c>
      <c r="N65" s="43">
        <f t="shared" si="12"/>
        <v>18.5</v>
      </c>
    </row>
    <row r="66" spans="1:14" x14ac:dyDescent="0.2">
      <c r="A66" s="11">
        <v>2.0529999999999999</v>
      </c>
      <c r="B66" s="21">
        <f t="shared" si="2"/>
        <v>3.3103032476710355</v>
      </c>
      <c r="C66" s="17">
        <v>12</v>
      </c>
      <c r="D66" s="11">
        <f t="shared" si="7"/>
        <v>27.71456732247248</v>
      </c>
      <c r="E66" s="11">
        <f t="shared" si="8"/>
        <v>43.820578552543644</v>
      </c>
      <c r="F66" s="12">
        <f t="shared" si="3"/>
        <v>5.2076739531728656E-3</v>
      </c>
      <c r="G66" s="13">
        <f t="shared" si="4"/>
        <v>29.527904969225634</v>
      </c>
      <c r="H66" s="13">
        <f t="shared" si="5"/>
        <v>13.365739818003384</v>
      </c>
      <c r="I66" s="13">
        <f t="shared" si="6"/>
        <v>42.893644787229022</v>
      </c>
      <c r="L66" s="32"/>
      <c r="M66" s="42" t="s">
        <v>60</v>
      </c>
      <c r="N66" s="43">
        <f t="shared" si="12"/>
        <v>22.200000000000003</v>
      </c>
    </row>
    <row r="67" spans="1:14" x14ac:dyDescent="0.2">
      <c r="A67" s="5">
        <v>1.9544999999999999</v>
      </c>
      <c r="B67" s="3">
        <f t="shared" si="2"/>
        <v>3.000276158399231</v>
      </c>
      <c r="C67" s="4"/>
      <c r="D67" s="5">
        <f t="shared" si="7"/>
        <v>26.384862071004605</v>
      </c>
      <c r="E67" s="5">
        <f t="shared" si="8"/>
        <v>41.718129946880936</v>
      </c>
      <c r="F67" s="6">
        <f t="shared" si="3"/>
        <v>5.7457977498970268E-3</v>
      </c>
      <c r="G67" s="3">
        <f t="shared" si="4"/>
        <v>26.76246333292114</v>
      </c>
      <c r="H67" s="3">
        <f t="shared" si="5"/>
        <v>12.113968876880339</v>
      </c>
      <c r="I67" s="3">
        <f>G67+H67</f>
        <v>38.876432209801479</v>
      </c>
      <c r="L67" s="32"/>
      <c r="M67" s="42" t="s">
        <v>61</v>
      </c>
      <c r="N67" s="43">
        <f t="shared" si="12"/>
        <v>25.900000000000002</v>
      </c>
    </row>
    <row r="68" spans="1:14" x14ac:dyDescent="0.2">
      <c r="A68" s="5">
        <v>1.9</v>
      </c>
      <c r="B68" s="3">
        <f t="shared" si="2"/>
        <v>2.8352873698647882</v>
      </c>
      <c r="C68" s="4"/>
      <c r="D68" s="5">
        <f t="shared" si="7"/>
        <v>25.649136830344716</v>
      </c>
      <c r="E68" s="5">
        <f t="shared" si="8"/>
        <v>40.554846200600551</v>
      </c>
      <c r="F68" s="6">
        <f t="shared" si="3"/>
        <v>6.0801526445702419E-3</v>
      </c>
      <c r="G68" s="3">
        <f t="shared" si="4"/>
        <v>25.290763339193909</v>
      </c>
      <c r="H68" s="3">
        <f t="shared" si="5"/>
        <v>11.447807182482578</v>
      </c>
      <c r="I68" s="3">
        <f t="shared" si="6"/>
        <v>36.738570521676486</v>
      </c>
      <c r="L68" s="32"/>
      <c r="M68" s="42" t="s">
        <v>62</v>
      </c>
      <c r="N68" s="43">
        <f t="shared" si="12"/>
        <v>29.6</v>
      </c>
    </row>
    <row r="69" spans="1:14" x14ac:dyDescent="0.2">
      <c r="A69" s="5">
        <v>1.8</v>
      </c>
      <c r="B69" s="3">
        <f t="shared" si="2"/>
        <v>2.5446900494077327</v>
      </c>
      <c r="C69" s="4"/>
      <c r="D69" s="5">
        <f t="shared" si="7"/>
        <v>24.299182260326575</v>
      </c>
      <c r="E69" s="5">
        <f t="shared" si="8"/>
        <v>38.420380611095261</v>
      </c>
      <c r="F69" s="6">
        <f t="shared" si="3"/>
        <v>6.7744910638575838E-3</v>
      </c>
      <c r="G69" s="3">
        <f t="shared" si="4"/>
        <v>22.698635240716971</v>
      </c>
      <c r="H69" s="3">
        <f t="shared" si="5"/>
        <v>10.274486224721207</v>
      </c>
      <c r="I69" s="3">
        <f t="shared" si="6"/>
        <v>32.973121465438176</v>
      </c>
      <c r="L69" s="32"/>
      <c r="M69" s="42" t="s">
        <v>63</v>
      </c>
      <c r="N69" s="43">
        <f t="shared" si="12"/>
        <v>33.300000000000004</v>
      </c>
    </row>
    <row r="70" spans="1:14" x14ac:dyDescent="0.2">
      <c r="A70" s="5">
        <v>1.7869999999999999</v>
      </c>
      <c r="B70" s="3">
        <f t="shared" si="2"/>
        <v>2.5080661476503456</v>
      </c>
      <c r="C70" s="4"/>
      <c r="D70" s="5">
        <f t="shared" si="7"/>
        <v>24.123688166224216</v>
      </c>
      <c r="E70" s="5">
        <f t="shared" si="8"/>
        <v>38.142900084459562</v>
      </c>
      <c r="F70" s="6">
        <f t="shared" si="3"/>
        <v>6.8734152072305382E-3</v>
      </c>
      <c r="G70" s="3">
        <f t="shared" si="4"/>
        <v>22.371950037041081</v>
      </c>
      <c r="H70" s="3">
        <f t="shared" si="5"/>
        <v>10.126612901528311</v>
      </c>
      <c r="I70" s="3">
        <f>G70+H70</f>
        <v>32.498562938569393</v>
      </c>
      <c r="L70" s="32"/>
      <c r="M70" s="42" t="s">
        <v>64</v>
      </c>
      <c r="N70" s="43">
        <f t="shared" si="12"/>
        <v>37</v>
      </c>
    </row>
    <row r="71" spans="1:14" x14ac:dyDescent="0.2">
      <c r="A71" s="5">
        <v>1.784</v>
      </c>
      <c r="B71" s="3">
        <f t="shared" si="2"/>
        <v>2.4996521771258693</v>
      </c>
      <c r="C71" s="4"/>
      <c r="D71" s="5">
        <f t="shared" si="7"/>
        <v>24.083189529123675</v>
      </c>
      <c r="E71" s="5">
        <f t="shared" si="8"/>
        <v>38.078866116774414</v>
      </c>
      <c r="F71" s="6">
        <f t="shared" si="3"/>
        <v>6.8965515113473055E-3</v>
      </c>
      <c r="G71" s="3">
        <f t="shared" si="4"/>
        <v>22.29689741996275</v>
      </c>
      <c r="H71" s="3">
        <f t="shared" si="5"/>
        <v>10.092640503094536</v>
      </c>
      <c r="I71" s="3">
        <f t="shared" si="6"/>
        <v>32.38953792305729</v>
      </c>
      <c r="L71" s="32"/>
      <c r="M71" s="42" t="s">
        <v>65</v>
      </c>
      <c r="N71" s="43">
        <f t="shared" si="12"/>
        <v>40.700000000000003</v>
      </c>
    </row>
    <row r="72" spans="1:14" x14ac:dyDescent="0.2">
      <c r="A72" s="5">
        <v>1.7</v>
      </c>
      <c r="B72" s="3">
        <f t="shared" si="2"/>
        <v>2.2698006922186251</v>
      </c>
      <c r="C72" s="4"/>
      <c r="D72" s="5">
        <f t="shared" si="7"/>
        <v>22.949227690308433</v>
      </c>
      <c r="E72" s="5">
        <f t="shared" si="8"/>
        <v>36.285915021589965</v>
      </c>
      <c r="F72" s="6">
        <f t="shared" si="3"/>
        <v>7.5949311580963928E-3</v>
      </c>
      <c r="G72" s="3">
        <f t="shared" si="4"/>
        <v>20.246622174590133</v>
      </c>
      <c r="H72" s="3">
        <f t="shared" si="5"/>
        <v>9.1645880214334188</v>
      </c>
      <c r="I72" s="3">
        <f t="shared" si="6"/>
        <v>29.411210196023553</v>
      </c>
      <c r="L72" s="32"/>
      <c r="M72" s="42" t="s">
        <v>66</v>
      </c>
      <c r="N72" s="43">
        <f t="shared" si="12"/>
        <v>44.400000000000006</v>
      </c>
    </row>
    <row r="73" spans="1:14" x14ac:dyDescent="0.2">
      <c r="A73" s="11">
        <v>1.6274999999999999</v>
      </c>
      <c r="B73" s="21">
        <f t="shared" si="2"/>
        <v>2.0803282940375123</v>
      </c>
      <c r="C73" s="17">
        <v>14</v>
      </c>
      <c r="D73" s="11">
        <f t="shared" si="7"/>
        <v>21.970510627045279</v>
      </c>
      <c r="E73" s="11">
        <f t="shared" si="8"/>
        <v>34.738427469198626</v>
      </c>
      <c r="F73" s="12">
        <f t="shared" si="3"/>
        <v>8.2866632393594434E-3</v>
      </c>
      <c r="G73" s="13">
        <f t="shared" si="4"/>
        <v>18.556528382814609</v>
      </c>
      <c r="H73" s="13">
        <f t="shared" si="5"/>
        <v>8.3995708652065453</v>
      </c>
      <c r="I73" s="13">
        <f>G73+H73</f>
        <v>26.956099248021154</v>
      </c>
      <c r="L73" s="32"/>
      <c r="M73" s="42" t="s">
        <v>67</v>
      </c>
      <c r="N73" s="43">
        <f t="shared" si="12"/>
        <v>48.1</v>
      </c>
    </row>
    <row r="74" spans="1:14" x14ac:dyDescent="0.2">
      <c r="A74" s="5">
        <v>1.5</v>
      </c>
      <c r="B74" s="3">
        <f t="shared" si="2"/>
        <v>1.7671458676442586</v>
      </c>
      <c r="C74" s="4"/>
      <c r="D74" s="5">
        <f t="shared" si="7"/>
        <v>20.249318550272147</v>
      </c>
      <c r="E74" s="5">
        <f t="shared" si="8"/>
        <v>32.016983842579386</v>
      </c>
      <c r="F74" s="6">
        <f t="shared" si="3"/>
        <v>9.7552671319549207E-3</v>
      </c>
      <c r="G74" s="3">
        <f t="shared" si="4"/>
        <v>15.762941139386786</v>
      </c>
      <c r="H74" s="3">
        <f t="shared" si="5"/>
        <v>7.1350598782786143</v>
      </c>
      <c r="I74" s="3">
        <f t="shared" si="6"/>
        <v>22.898001017665401</v>
      </c>
      <c r="L74" s="35"/>
      <c r="M74" s="44" t="s">
        <v>68</v>
      </c>
      <c r="N74" s="45">
        <f t="shared" si="12"/>
        <v>51.800000000000004</v>
      </c>
    </row>
    <row r="75" spans="1:14" x14ac:dyDescent="0.2">
      <c r="A75" s="5">
        <v>1.4</v>
      </c>
      <c r="B75" s="3">
        <f t="shared" si="2"/>
        <v>1.5393804002589984</v>
      </c>
      <c r="C75" s="4"/>
      <c r="D75" s="5">
        <f t="shared" si="7"/>
        <v>18.899363980254002</v>
      </c>
      <c r="E75" s="5">
        <f t="shared" si="8"/>
        <v>29.882518253074085</v>
      </c>
      <c r="F75" s="6">
        <f t="shared" si="3"/>
        <v>1.11986484933156E-2</v>
      </c>
      <c r="G75" s="3">
        <f t="shared" si="4"/>
        <v>13.731273170310265</v>
      </c>
      <c r="H75" s="3">
        <f t="shared" si="5"/>
        <v>6.2154299384115905</v>
      </c>
      <c r="I75" s="3">
        <f t="shared" si="6"/>
        <v>19.946703108721856</v>
      </c>
    </row>
    <row r="76" spans="1:14" x14ac:dyDescent="0.2">
      <c r="A76" s="5">
        <v>1.3819999999999999</v>
      </c>
      <c r="B76" s="3">
        <f t="shared" si="2"/>
        <v>1.5000508018287078</v>
      </c>
      <c r="C76" s="4"/>
      <c r="D76" s="5">
        <f t="shared" si="7"/>
        <v>18.656372157650736</v>
      </c>
      <c r="E76" s="5">
        <f t="shared" si="8"/>
        <v>29.498314446963132</v>
      </c>
      <c r="F76" s="6">
        <f t="shared" si="3"/>
        <v>1.1492264114644653E-2</v>
      </c>
      <c r="G76" s="3">
        <f t="shared" si="4"/>
        <v>13.380453152312072</v>
      </c>
      <c r="H76" s="3">
        <f t="shared" si="5"/>
        <v>6.0566320457606242</v>
      </c>
      <c r="I76" s="3">
        <f>G76+H76</f>
        <v>19.437085198072694</v>
      </c>
    </row>
    <row r="77" spans="1:14" x14ac:dyDescent="0.2">
      <c r="A77" s="11">
        <v>1.2915000000000001</v>
      </c>
      <c r="B77" s="21">
        <f t="shared" si="2"/>
        <v>1.3100223417479098</v>
      </c>
      <c r="C77" s="17">
        <v>16</v>
      </c>
      <c r="D77" s="11">
        <f t="shared" si="7"/>
        <v>17.43466327178432</v>
      </c>
      <c r="E77" s="11">
        <f t="shared" si="8"/>
        <v>27.566623088460851</v>
      </c>
      <c r="F77" s="12">
        <f t="shared" si="3"/>
        <v>1.3159302288691294E-2</v>
      </c>
      <c r="G77" s="13">
        <f t="shared" si="4"/>
        <v>11.685399288391354</v>
      </c>
      <c r="H77" s="13">
        <f t="shared" si="5"/>
        <v>5.2893697240253816</v>
      </c>
      <c r="I77" s="13">
        <f t="shared" si="6"/>
        <v>16.974769012416736</v>
      </c>
    </row>
    <row r="78" spans="1:14" x14ac:dyDescent="0.2">
      <c r="A78" s="5">
        <v>1.25</v>
      </c>
      <c r="B78" s="3">
        <f t="shared" si="2"/>
        <v>1.227184630308513</v>
      </c>
      <c r="C78" s="4"/>
      <c r="D78" s="5">
        <f t="shared" si="7"/>
        <v>16.874432125226789</v>
      </c>
      <c r="E78" s="5">
        <f t="shared" si="8"/>
        <v>26.680819868816151</v>
      </c>
      <c r="F78" s="6">
        <f t="shared" si="3"/>
        <v>1.4047584670015085E-2</v>
      </c>
      <c r="G78" s="3">
        <f t="shared" si="4"/>
        <v>10.946486902351934</v>
      </c>
      <c r="H78" s="3">
        <f t="shared" si="5"/>
        <v>4.9549026932490392</v>
      </c>
      <c r="I78" s="3">
        <f t="shared" si="6"/>
        <v>15.901389595600973</v>
      </c>
    </row>
    <row r="79" spans="1:14" x14ac:dyDescent="0.2">
      <c r="A79" s="5">
        <v>1.2</v>
      </c>
      <c r="B79" s="3">
        <f t="shared" si="2"/>
        <v>1.1309733552923256</v>
      </c>
      <c r="C79" s="4"/>
      <c r="D79" s="5">
        <f t="shared" si="7"/>
        <v>16.199454840217715</v>
      </c>
      <c r="E79" s="5">
        <f t="shared" si="8"/>
        <v>25.613587074063506</v>
      </c>
      <c r="F79" s="6">
        <f t="shared" si="3"/>
        <v>1.5242604893679564E-2</v>
      </c>
      <c r="G79" s="3">
        <f t="shared" si="4"/>
        <v>10.088282329207544</v>
      </c>
      <c r="H79" s="3">
        <f t="shared" si="5"/>
        <v>4.566438322098314</v>
      </c>
      <c r="I79" s="3">
        <f t="shared" si="6"/>
        <v>14.654720651305858</v>
      </c>
    </row>
    <row r="80" spans="1:14" x14ac:dyDescent="0.2">
      <c r="A80" s="5">
        <v>1.1285000000000001</v>
      </c>
      <c r="B80" s="3">
        <f t="shared" si="2"/>
        <v>1.0002141822141521</v>
      </c>
      <c r="C80" s="4"/>
      <c r="D80" s="5">
        <f t="shared" si="7"/>
        <v>15.234237322654746</v>
      </c>
      <c r="E80" s="5">
        <f t="shared" si="8"/>
        <v>24.087444177567221</v>
      </c>
      <c r="F80" s="6">
        <f t="shared" si="3"/>
        <v>1.7235288507745857E-2</v>
      </c>
      <c r="G80" s="3">
        <f t="shared" si="4"/>
        <v>8.921910505350235</v>
      </c>
      <c r="H80" s="3">
        <f t="shared" si="5"/>
        <v>4.038482737542811</v>
      </c>
      <c r="I80" s="3">
        <f>G80+H80</f>
        <v>12.960393242893046</v>
      </c>
    </row>
    <row r="81" spans="1:9" x14ac:dyDescent="0.2">
      <c r="A81" s="5">
        <v>1.1000000000000001</v>
      </c>
      <c r="B81" s="3">
        <f t="shared" si="2"/>
        <v>0.9503317777109126</v>
      </c>
      <c r="C81" s="4"/>
      <c r="D81" s="5">
        <f t="shared" si="7"/>
        <v>14.849500270199576</v>
      </c>
      <c r="E81" s="5">
        <f t="shared" si="8"/>
        <v>23.479121484558213</v>
      </c>
      <c r="F81" s="6">
        <f t="shared" si="3"/>
        <v>1.8139959542891378E-2</v>
      </c>
      <c r="G81" s="3">
        <f t="shared" si="4"/>
        <v>8.4769594571813389</v>
      </c>
      <c r="H81" s="3">
        <f t="shared" si="5"/>
        <v>3.837076645652056</v>
      </c>
      <c r="I81" s="3">
        <f t="shared" si="6"/>
        <v>12.314036102833395</v>
      </c>
    </row>
    <row r="82" spans="1:9" x14ac:dyDescent="0.2">
      <c r="A82" s="11">
        <v>1.022</v>
      </c>
      <c r="B82" s="21">
        <f t="shared" si="2"/>
        <v>0.82033581529802035</v>
      </c>
      <c r="C82" s="17">
        <v>18</v>
      </c>
      <c r="D82" s="11">
        <f t="shared" si="7"/>
        <v>13.796535705585422</v>
      </c>
      <c r="E82" s="11">
        <f t="shared" si="8"/>
        <v>21.814238324744085</v>
      </c>
      <c r="F82" s="12">
        <f t="shared" si="3"/>
        <v>2.1014540238910862E-2</v>
      </c>
      <c r="G82" s="13">
        <f t="shared" si="4"/>
        <v>7.3173954724583403</v>
      </c>
      <c r="H82" s="13">
        <f t="shared" si="5"/>
        <v>3.3122026141795375</v>
      </c>
      <c r="I82" s="13">
        <f t="shared" si="6"/>
        <v>10.629598086637877</v>
      </c>
    </row>
    <row r="83" spans="1:9" x14ac:dyDescent="0.2">
      <c r="A83" s="5">
        <v>0.97699999999999998</v>
      </c>
      <c r="B83" s="3">
        <f t="shared" si="2"/>
        <v>0.74968532350960293</v>
      </c>
      <c r="C83" s="4"/>
      <c r="D83" s="5">
        <f t="shared" si="7"/>
        <v>13.189056149077258</v>
      </c>
      <c r="E83" s="5">
        <f t="shared" si="8"/>
        <v>20.853728809466702</v>
      </c>
      <c r="F83" s="6">
        <f t="shared" si="3"/>
        <v>2.2994954628825916E-2</v>
      </c>
      <c r="G83" s="3">
        <f t="shared" si="4"/>
        <v>6.6871930857056574</v>
      </c>
      <c r="H83" s="3">
        <f t="shared" si="5"/>
        <v>3.0269429202459595</v>
      </c>
      <c r="I83" s="3">
        <f>G83+H83</f>
        <v>9.714136005951616</v>
      </c>
    </row>
    <row r="84" spans="1:9" x14ac:dyDescent="0.2">
      <c r="A84" s="5">
        <v>0.95</v>
      </c>
      <c r="B84" s="3">
        <f t="shared" si="2"/>
        <v>0.70882184246619706</v>
      </c>
      <c r="C84" s="4"/>
      <c r="D84" s="5">
        <f t="shared" si="7"/>
        <v>12.824568415172358</v>
      </c>
      <c r="E84" s="5">
        <f t="shared" si="8"/>
        <v>20.277423100300275</v>
      </c>
      <c r="F84" s="6">
        <f t="shared" si="3"/>
        <v>2.4320610578280968E-2</v>
      </c>
      <c r="G84" s="3">
        <f t="shared" si="4"/>
        <v>6.3226908347984772</v>
      </c>
      <c r="H84" s="3">
        <f t="shared" si="5"/>
        <v>2.8619517956206444</v>
      </c>
      <c r="I84" s="3">
        <f t="shared" si="6"/>
        <v>9.1846426304191215</v>
      </c>
    </row>
    <row r="85" spans="1:9" x14ac:dyDescent="0.2">
      <c r="A85" s="5">
        <v>0.9</v>
      </c>
      <c r="B85" s="3">
        <f t="shared" si="2"/>
        <v>0.63617251235193317</v>
      </c>
      <c r="C85" s="4"/>
      <c r="D85" s="5">
        <f t="shared" si="7"/>
        <v>12.149591130163287</v>
      </c>
      <c r="E85" s="5">
        <f t="shared" si="8"/>
        <v>19.210190305547631</v>
      </c>
      <c r="F85" s="6">
        <f t="shared" si="3"/>
        <v>2.7097964255430335E-2</v>
      </c>
      <c r="G85" s="3">
        <f t="shared" si="4"/>
        <v>5.6746588101792428</v>
      </c>
      <c r="H85" s="3">
        <f t="shared" si="5"/>
        <v>2.5686215561803016</v>
      </c>
      <c r="I85" s="3">
        <f t="shared" si="6"/>
        <v>8.243280366359544</v>
      </c>
    </row>
    <row r="86" spans="1:9" x14ac:dyDescent="0.2">
      <c r="A86" s="5">
        <v>0.85</v>
      </c>
      <c r="B86" s="3">
        <f t="shared" si="2"/>
        <v>0.56745017305465628</v>
      </c>
      <c r="C86" s="4"/>
      <c r="D86" s="5">
        <f t="shared" si="7"/>
        <v>11.474613845154217</v>
      </c>
      <c r="E86" s="5">
        <f t="shared" si="8"/>
        <v>18.142957510794982</v>
      </c>
      <c r="F86" s="6">
        <f t="shared" si="3"/>
        <v>3.0379724632385571E-2</v>
      </c>
      <c r="G86" s="3">
        <f t="shared" si="4"/>
        <v>5.0616555436475332</v>
      </c>
      <c r="H86" s="3">
        <f t="shared" si="5"/>
        <v>2.2911470053583547</v>
      </c>
      <c r="I86" s="3">
        <f t="shared" si="6"/>
        <v>7.3528025490058884</v>
      </c>
    </row>
    <row r="87" spans="1:9" x14ac:dyDescent="0.2">
      <c r="A87" s="11">
        <v>0.81399999999999995</v>
      </c>
      <c r="B87" s="21">
        <f t="shared" si="2"/>
        <v>0.52040168147449561</v>
      </c>
      <c r="C87" s="17">
        <v>20</v>
      </c>
      <c r="D87" s="11">
        <f t="shared" si="7"/>
        <v>10.988630199947684</v>
      </c>
      <c r="E87" s="11">
        <f t="shared" si="8"/>
        <v>17.374549898573076</v>
      </c>
      <c r="F87" s="12">
        <f t="shared" si="3"/>
        <v>3.3126295732087988E-2</v>
      </c>
      <c r="G87" s="13">
        <f t="shared" si="4"/>
        <v>4.6419829987524999</v>
      </c>
      <c r="H87" s="13">
        <f t="shared" si="5"/>
        <v>2.1011831711590658</v>
      </c>
      <c r="I87" s="13">
        <f t="shared" si="6"/>
        <v>6.7431661699115661</v>
      </c>
    </row>
    <row r="88" spans="1:9" x14ac:dyDescent="0.2">
      <c r="A88" s="5">
        <v>0.75</v>
      </c>
      <c r="B88" s="3">
        <f t="shared" si="2"/>
        <v>0.44178646691106466</v>
      </c>
      <c r="C88" s="4"/>
      <c r="D88" s="5">
        <f t="shared" si="7"/>
        <v>10.124659275136073</v>
      </c>
      <c r="E88" s="5">
        <f t="shared" si="8"/>
        <v>16.008491921289693</v>
      </c>
      <c r="F88" s="6">
        <f t="shared" si="3"/>
        <v>3.9021068527819683E-2</v>
      </c>
      <c r="G88" s="3">
        <f t="shared" si="4"/>
        <v>3.9407352848466966</v>
      </c>
      <c r="H88" s="3">
        <f t="shared" si="5"/>
        <v>1.7837649695696536</v>
      </c>
      <c r="I88" s="3">
        <f t="shared" si="6"/>
        <v>5.7245002544163501</v>
      </c>
    </row>
    <row r="89" spans="1:9" x14ac:dyDescent="0.2">
      <c r="A89" s="5">
        <v>0.7</v>
      </c>
      <c r="B89" s="3">
        <f t="shared" si="2"/>
        <v>0.38484510006474959</v>
      </c>
      <c r="C89" s="4"/>
      <c r="D89" s="5">
        <f t="shared" si="7"/>
        <v>9.4496819901270008</v>
      </c>
      <c r="E89" s="5">
        <f t="shared" si="8"/>
        <v>14.941259126537043</v>
      </c>
      <c r="F89" s="6">
        <f t="shared" si="3"/>
        <v>4.4794593973262402E-2</v>
      </c>
      <c r="G89" s="3">
        <f t="shared" si="4"/>
        <v>3.4328182925775663</v>
      </c>
      <c r="H89" s="3">
        <f t="shared" si="5"/>
        <v>1.5538574846028976</v>
      </c>
      <c r="I89" s="3">
        <f t="shared" si="6"/>
        <v>4.986675777180464</v>
      </c>
    </row>
    <row r="90" spans="1:9" x14ac:dyDescent="0.2">
      <c r="A90" s="11">
        <v>0.64800000000000002</v>
      </c>
      <c r="B90" s="21">
        <f t="shared" si="2"/>
        <v>0.32979183040324211</v>
      </c>
      <c r="C90" s="17">
        <v>22</v>
      </c>
      <c r="D90" s="11">
        <f t="shared" si="7"/>
        <v>8.7477056137175673</v>
      </c>
      <c r="E90" s="11">
        <f t="shared" si="8"/>
        <v>13.831337019994292</v>
      </c>
      <c r="F90" s="12">
        <f t="shared" si="3"/>
        <v>5.2272307591493705E-2</v>
      </c>
      <c r="G90" s="13">
        <f t="shared" si="4"/>
        <v>2.9417431271969194</v>
      </c>
      <c r="H90" s="13">
        <f t="shared" si="5"/>
        <v>1.3315734147238687</v>
      </c>
      <c r="I90" s="13">
        <f t="shared" si="6"/>
        <v>4.2733165419207886</v>
      </c>
    </row>
    <row r="91" spans="1:9" x14ac:dyDescent="0.2">
      <c r="A91" s="5">
        <v>0.6</v>
      </c>
      <c r="B91" s="3">
        <f t="shared" si="2"/>
        <v>0.28274333882308139</v>
      </c>
      <c r="C91" s="4"/>
      <c r="D91" s="5">
        <f t="shared" si="7"/>
        <v>8.0997274201088576</v>
      </c>
      <c r="E91" s="5">
        <f t="shared" si="8"/>
        <v>12.806793537031753</v>
      </c>
      <c r="F91" s="6">
        <f t="shared" si="3"/>
        <v>6.0970419574718257E-2</v>
      </c>
      <c r="G91" s="3">
        <f t="shared" si="4"/>
        <v>2.5220705823018861</v>
      </c>
      <c r="H91" s="3">
        <f t="shared" si="5"/>
        <v>1.1416095805245785</v>
      </c>
      <c r="I91" s="3">
        <f t="shared" si="6"/>
        <v>3.6636801628264646</v>
      </c>
    </row>
    <row r="92" spans="1:9" x14ac:dyDescent="0.2">
      <c r="A92" s="5">
        <v>0.56399999999999995</v>
      </c>
      <c r="B92" s="3">
        <f t="shared" si="2"/>
        <v>0.24983201418407466</v>
      </c>
      <c r="C92" s="4"/>
      <c r="D92" s="5">
        <f t="shared" si="7"/>
        <v>7.6137437749023258</v>
      </c>
      <c r="E92" s="5">
        <f t="shared" si="8"/>
        <v>12.038385924809846</v>
      </c>
      <c r="F92" s="6">
        <f t="shared" si="3"/>
        <v>6.9002285621003023E-2</v>
      </c>
      <c r="G92" s="3">
        <f t="shared" si="4"/>
        <v>2.2285015665219454</v>
      </c>
      <c r="H92" s="3">
        <f t="shared" si="5"/>
        <v>1.0087262253515177</v>
      </c>
      <c r="I92" s="3">
        <f>G92+H92</f>
        <v>3.2372277918734631</v>
      </c>
    </row>
    <row r="93" spans="1:9" x14ac:dyDescent="0.2">
      <c r="A93" s="5">
        <v>0.55000000000000004</v>
      </c>
      <c r="B93" s="3">
        <f t="shared" si="2"/>
        <v>0.23758294442772815</v>
      </c>
      <c r="C93" s="4"/>
      <c r="D93" s="5">
        <f t="shared" si="7"/>
        <v>7.4247501350997878</v>
      </c>
      <c r="E93" s="5">
        <f t="shared" si="8"/>
        <v>11.739560742279107</v>
      </c>
      <c r="F93" s="6">
        <f t="shared" si="3"/>
        <v>7.2559838171565513E-2</v>
      </c>
      <c r="G93" s="3">
        <f t="shared" si="4"/>
        <v>2.1192398642953347</v>
      </c>
      <c r="H93" s="3">
        <f t="shared" si="5"/>
        <v>0.95926916141301399</v>
      </c>
      <c r="I93" s="3">
        <f t="shared" si="6"/>
        <v>3.0785090257083487</v>
      </c>
    </row>
    <row r="94" spans="1:9" x14ac:dyDescent="0.2">
      <c r="A94" s="11">
        <v>0.51700000000000002</v>
      </c>
      <c r="B94" s="21">
        <f t="shared" si="2"/>
        <v>0.20992828969634056</v>
      </c>
      <c r="C94" s="17">
        <v>24</v>
      </c>
      <c r="D94" s="11">
        <f t="shared" si="7"/>
        <v>6.9792651269938002</v>
      </c>
      <c r="E94" s="11">
        <f t="shared" si="8"/>
        <v>11.035187097742361</v>
      </c>
      <c r="F94" s="12">
        <f t="shared" si="3"/>
        <v>8.211842255722672E-2</v>
      </c>
      <c r="G94" s="13">
        <f t="shared" si="4"/>
        <v>1.8725603440913574</v>
      </c>
      <c r="H94" s="13">
        <f t="shared" si="5"/>
        <v>0.84761023102453947</v>
      </c>
      <c r="I94" s="13">
        <f t="shared" si="6"/>
        <v>2.7201705751158967</v>
      </c>
    </row>
    <row r="95" spans="1:9" x14ac:dyDescent="0.2">
      <c r="A95" s="5">
        <v>0.45</v>
      </c>
      <c r="B95" s="3">
        <f t="shared" si="2"/>
        <v>0.15904312808798329</v>
      </c>
      <c r="C95" s="4"/>
      <c r="D95" s="5">
        <f t="shared" si="7"/>
        <v>6.0747955650816436</v>
      </c>
      <c r="E95" s="5">
        <f t="shared" si="8"/>
        <v>9.6050951527738153</v>
      </c>
      <c r="F95" s="6">
        <f t="shared" si="3"/>
        <v>0.10839185702172134</v>
      </c>
      <c r="G95" s="3">
        <f t="shared" si="4"/>
        <v>1.4186647025448107</v>
      </c>
      <c r="H95" s="3">
        <f t="shared" si="5"/>
        <v>0.64215538904507541</v>
      </c>
      <c r="I95" s="3">
        <f t="shared" si="6"/>
        <v>2.060820091589886</v>
      </c>
    </row>
    <row r="96" spans="1:9" x14ac:dyDescent="0.2">
      <c r="A96" s="11">
        <v>0.40699999999999997</v>
      </c>
      <c r="B96" s="21">
        <f t="shared" si="2"/>
        <v>0.1301004203686239</v>
      </c>
      <c r="C96" s="17">
        <v>26</v>
      </c>
      <c r="D96" s="11">
        <f t="shared" si="7"/>
        <v>5.4943150999738419</v>
      </c>
      <c r="E96" s="11">
        <f t="shared" si="8"/>
        <v>8.6872749492865378</v>
      </c>
      <c r="F96" s="12">
        <f t="shared" si="3"/>
        <v>0.13250518292835195</v>
      </c>
      <c r="G96" s="13">
        <f t="shared" si="4"/>
        <v>1.160495749688125</v>
      </c>
      <c r="H96" s="13">
        <f t="shared" si="5"/>
        <v>0.52529579278976646</v>
      </c>
      <c r="I96" s="13">
        <f t="shared" si="6"/>
        <v>1.6857915424778915</v>
      </c>
    </row>
    <row r="97" spans="1:9" x14ac:dyDescent="0.2">
      <c r="A97" s="5">
        <v>0.35</v>
      </c>
      <c r="B97" s="3">
        <f t="shared" si="2"/>
        <v>9.6211275016187398E-2</v>
      </c>
      <c r="C97" s="4"/>
      <c r="D97" s="5">
        <f t="shared" si="7"/>
        <v>4.7248409950635004</v>
      </c>
      <c r="E97" s="5">
        <f t="shared" si="8"/>
        <v>7.4706295632685213</v>
      </c>
      <c r="F97" s="6">
        <f t="shared" si="3"/>
        <v>0.17917837589304961</v>
      </c>
      <c r="G97" s="3">
        <f t="shared" si="4"/>
        <v>0.85820457314439158</v>
      </c>
      <c r="H97" s="3">
        <f t="shared" si="5"/>
        <v>0.38846437115072441</v>
      </c>
      <c r="I97" s="3">
        <f t="shared" si="6"/>
        <v>1.246668944295116</v>
      </c>
    </row>
    <row r="98" spans="1:9" x14ac:dyDescent="0.2">
      <c r="A98" s="5">
        <v>0.3</v>
      </c>
      <c r="B98" s="4">
        <f t="shared" si="2"/>
        <v>7.0685834705770348E-2</v>
      </c>
      <c r="C98" s="4"/>
      <c r="D98" s="5">
        <f t="shared" si="7"/>
        <v>4.0498637100544288</v>
      </c>
      <c r="E98" s="5">
        <f t="shared" si="8"/>
        <v>6.4033967685158766</v>
      </c>
      <c r="F98" s="6">
        <f t="shared" si="3"/>
        <v>0.24388167829887303</v>
      </c>
      <c r="G98" s="3">
        <f t="shared" si="4"/>
        <v>0.63051764557547152</v>
      </c>
      <c r="H98" s="3">
        <f t="shared" si="5"/>
        <v>0.28540239513114463</v>
      </c>
      <c r="I98" s="3">
        <f t="shared" si="6"/>
        <v>0.91592004070661615</v>
      </c>
    </row>
    <row r="99" spans="1:9" x14ac:dyDescent="0.2">
      <c r="A99" s="5">
        <v>0.25</v>
      </c>
      <c r="B99" s="4">
        <f t="shared" si="2"/>
        <v>4.9087385212340517E-2</v>
      </c>
      <c r="C99" s="4"/>
      <c r="D99" s="5">
        <f t="shared" si="7"/>
        <v>3.3748864250453576</v>
      </c>
      <c r="E99" s="5">
        <f t="shared" si="8"/>
        <v>5.33616397376323</v>
      </c>
      <c r="F99" s="6">
        <f t="shared" si="3"/>
        <v>0.35118961675037719</v>
      </c>
      <c r="G99" s="3">
        <f t="shared" si="4"/>
        <v>0.43785947609407738</v>
      </c>
      <c r="H99" s="3">
        <f t="shared" si="5"/>
        <v>0.19819610772996155</v>
      </c>
      <c r="I99" s="3">
        <f t="shared" si="6"/>
        <v>0.63605558382403893</v>
      </c>
    </row>
    <row r="100" spans="1:9" x14ac:dyDescent="0.2">
      <c r="A100" s="5">
        <v>0.2</v>
      </c>
      <c r="B100" s="4">
        <f t="shared" si="2"/>
        <v>3.1415926535897934E-2</v>
      </c>
      <c r="C100" s="4"/>
      <c r="D100" s="5">
        <f t="shared" si="7"/>
        <v>2.6999091400362865</v>
      </c>
      <c r="E100" s="5">
        <f t="shared" si="8"/>
        <v>4.2689311790105844</v>
      </c>
      <c r="F100" s="6">
        <f t="shared" si="3"/>
        <v>0.54873377617246422</v>
      </c>
      <c r="G100" s="3">
        <f t="shared" si="4"/>
        <v>0.28023006470020956</v>
      </c>
      <c r="H100" s="3">
        <f t="shared" si="5"/>
        <v>0.12684550894717536</v>
      </c>
      <c r="I100" s="3">
        <f t="shared" si="6"/>
        <v>0.40707557364738489</v>
      </c>
    </row>
    <row r="101" spans="1:9" x14ac:dyDescent="0.2">
      <c r="A101" s="5">
        <v>0.18</v>
      </c>
      <c r="B101" s="4">
        <f t="shared" si="2"/>
        <v>2.5446900494077322E-2</v>
      </c>
      <c r="C101" s="4"/>
      <c r="D101" s="5">
        <f t="shared" si="7"/>
        <v>2.4299182260326573</v>
      </c>
      <c r="E101" s="5">
        <f t="shared" si="8"/>
        <v>3.8420380611095255</v>
      </c>
      <c r="F101" s="6">
        <f t="shared" si="3"/>
        <v>0.6774491063857585</v>
      </c>
      <c r="G101" s="3">
        <f t="shared" si="4"/>
        <v>0.22698635240716969</v>
      </c>
      <c r="H101" s="3">
        <f t="shared" si="5"/>
        <v>0.10274486224721208</v>
      </c>
      <c r="I101" s="3">
        <f t="shared" si="6"/>
        <v>0.32973121465438177</v>
      </c>
    </row>
    <row r="102" spans="1:9" x14ac:dyDescent="0.2">
      <c r="A102" s="5">
        <v>0.15</v>
      </c>
      <c r="B102" s="4">
        <f t="shared" si="2"/>
        <v>1.7671458676442587E-2</v>
      </c>
      <c r="C102" s="4"/>
      <c r="D102" s="5">
        <f t="shared" si="7"/>
        <v>2.0249318550272144</v>
      </c>
      <c r="E102" s="5">
        <f t="shared" si="8"/>
        <v>3.2016983842579383</v>
      </c>
      <c r="F102" s="6">
        <f t="shared" si="3"/>
        <v>0.97552671319549211</v>
      </c>
      <c r="G102" s="3">
        <f t="shared" si="4"/>
        <v>0.15762941139386788</v>
      </c>
      <c r="H102" s="3">
        <f t="shared" si="5"/>
        <v>7.1350598782786157E-2</v>
      </c>
      <c r="I102" s="3">
        <f t="shared" si="6"/>
        <v>0.22898001017665404</v>
      </c>
    </row>
    <row r="103" spans="1:9" x14ac:dyDescent="0.2">
      <c r="A103" s="5">
        <v>0.12</v>
      </c>
      <c r="B103" s="4">
        <f t="shared" si="2"/>
        <v>1.1309733552923255E-2</v>
      </c>
      <c r="C103" s="4"/>
      <c r="D103" s="5">
        <f t="shared" si="7"/>
        <v>1.6199454840217717</v>
      </c>
      <c r="E103" s="5">
        <f t="shared" si="8"/>
        <v>2.5613587074063502</v>
      </c>
      <c r="F103" s="6">
        <f t="shared" si="3"/>
        <v>1.5242604893679566</v>
      </c>
      <c r="G103" s="3">
        <f t="shared" si="4"/>
        <v>0.10088282329207543</v>
      </c>
      <c r="H103" s="3">
        <f t="shared" si="5"/>
        <v>4.5664383220983117E-2</v>
      </c>
      <c r="I103" s="3">
        <f t="shared" si="6"/>
        <v>0.14654720651305855</v>
      </c>
    </row>
    <row r="104" spans="1:9" x14ac:dyDescent="0.2">
      <c r="A104" s="5">
        <v>0.1</v>
      </c>
      <c r="B104" s="4">
        <f t="shared" si="2"/>
        <v>7.8539816339744835E-3</v>
      </c>
      <c r="C104" s="4"/>
      <c r="D104" s="5">
        <f t="shared" si="7"/>
        <v>1.3499545700181432</v>
      </c>
      <c r="E104" s="5">
        <f t="shared" si="8"/>
        <v>2.1344655895052922</v>
      </c>
      <c r="F104" s="6">
        <f t="shared" si="3"/>
        <v>2.1949351046898569</v>
      </c>
      <c r="G104" s="3">
        <f t="shared" si="4"/>
        <v>7.0057516175052389E-2</v>
      </c>
      <c r="H104" s="3">
        <f t="shared" si="5"/>
        <v>3.171137723679384E-2</v>
      </c>
      <c r="I104" s="3">
        <f t="shared" si="6"/>
        <v>0.10176889341184622</v>
      </c>
    </row>
    <row r="105" spans="1:9" x14ac:dyDescent="0.2">
      <c r="A105" s="5">
        <v>0.08</v>
      </c>
      <c r="B105" s="4">
        <f t="shared" si="2"/>
        <v>5.0265482457436689E-3</v>
      </c>
      <c r="C105" s="4"/>
      <c r="D105" s="5">
        <f t="shared" si="7"/>
        <v>1.0799636560145145</v>
      </c>
      <c r="E105" s="5">
        <f t="shared" si="8"/>
        <v>1.7075724716042335</v>
      </c>
      <c r="F105" s="6">
        <f t="shared" si="3"/>
        <v>3.4295861010779021</v>
      </c>
      <c r="G105" s="3">
        <f t="shared" si="4"/>
        <v>4.4836810352033525E-2</v>
      </c>
      <c r="H105" s="3">
        <f t="shared" si="5"/>
        <v>2.029528143154806E-2</v>
      </c>
      <c r="I105" s="3">
        <f t="shared" si="6"/>
        <v>6.5132091783581592E-2</v>
      </c>
    </row>
    <row r="106" spans="1:9" x14ac:dyDescent="0.2">
      <c r="A106" s="5">
        <v>0.05</v>
      </c>
      <c r="B106" s="4">
        <f t="shared" si="2"/>
        <v>1.9634954084936209E-3</v>
      </c>
      <c r="C106" s="4"/>
      <c r="D106" s="5">
        <f t="shared" si="7"/>
        <v>0.67497728500907161</v>
      </c>
      <c r="E106" s="5">
        <f t="shared" si="8"/>
        <v>1.0672327947526461</v>
      </c>
      <c r="F106" s="6">
        <f t="shared" si="3"/>
        <v>8.7797404187594275</v>
      </c>
      <c r="G106" s="3">
        <f t="shared" si="4"/>
        <v>1.7514379043763097E-2</v>
      </c>
      <c r="H106" s="3">
        <f t="shared" si="5"/>
        <v>7.9278443091984601E-3</v>
      </c>
      <c r="I106" s="3">
        <f t="shared" si="6"/>
        <v>2.5442223352961556E-2</v>
      </c>
    </row>
    <row r="107" spans="1:9" x14ac:dyDescent="0.2">
      <c r="A107" t="str">
        <f>"Nota: en esta tabla se presupone un aislante de silicona con diámetro exterior "&amp;ROUND(relac_diámetros,1)&amp;" veces el del núcleo de cobre."</f>
        <v>Nota: en esta tabla se presupone un aislante de silicona con diámetro exterior 1.5 veces el del núcleo de cobre.</v>
      </c>
    </row>
    <row r="108" spans="1:9" x14ac:dyDescent="0.2">
      <c r="A108" t="s">
        <v>76</v>
      </c>
    </row>
  </sheetData>
  <sheetProtection sheet="1" objects="1" scenarios="1" selectLockedCells="1"/>
  <mergeCells count="8">
    <mergeCell ref="A2:I2"/>
    <mergeCell ref="A56:I57"/>
    <mergeCell ref="A28:B28"/>
    <mergeCell ref="D28:F28"/>
    <mergeCell ref="G28:G29"/>
    <mergeCell ref="H28:H29"/>
    <mergeCell ref="I28:I29"/>
    <mergeCell ref="D46:H46"/>
  </mergeCells>
  <phoneticPr fontId="2" type="noConversion"/>
  <dataValidations count="5">
    <dataValidation type="custom" allowBlank="1" showInputMessage="1" showErrorMessage="1" errorTitle="ERROR" error="Tienes que introducir un número mayor que cero." prompt="Introduce la intensidad de corriente máxima que circulará por el cable, normalmente la obtendrás de los datos técnicos del motor." sqref="E11">
      <formula1>AND(ISNUMBER(E11),E11&gt;0)</formula1>
    </dataValidation>
    <dataValidation type="custom" allowBlank="1" showInputMessage="1" showErrorMessage="1" errorTitle="ERROR" error="Tienes que introducir un número mayor que cero." prompt="Introduce la longitud del cable multiplicada por 2 (ida y vuelta)._x000a_Por ejemplo, si el cable mide 120mm tienes que introducir 240 porque la corriente circula por los 120mm del cable rojo y los 120mm del cable negro." sqref="E8">
      <formula1>AND(ISNUMBER(E8),E8&gt;0)</formula1>
    </dataValidation>
    <dataValidation type="list" errorStyle="warning" allowBlank="1" showInputMessage="1" showErrorMessage="1" error="Haz clic en &quot;Sí&quot; para validar el dato que has introducido." promptTitle="Selecciona o introduce un dato" prompt="Puedes seleccionar una sección de conductor usando la lista desplegable de AWG, que son las secciones que normalmente encontrarás en el comercio, o bien introducirla manualmente en mm², en este caso no olvides usar el punto como separador decimal." sqref="E9">
      <formula1>$M$19:$M$28</formula1>
    </dataValidation>
    <dataValidation type="decimal" operator="greaterThan" allowBlank="1" showInputMessage="1" showErrorMessage="1" errorTitle="ERROR" error="Debes introducir un diámetro de aislante mayor que el diámetro del conductor de cobre." prompt="Mide el diámetro del aislante con un calibre e introduce aquí el valor medido" sqref="E10">
      <formula1>N15</formula1>
    </dataValidation>
    <dataValidation type="list" errorStyle="warning" allowBlank="1" showInputMessage="1" showErrorMessage="1" error="Haz clic en &quot;Sí&quot; para aceptar el valor que has introducido." promptTitle="Selecciona o introduce un dato" prompt="Puedes seleccionar el número de células de tu batería LiPo en el desplegable o bien introducir manualmente la tensión en voltios." sqref="E12">
      <formula1>$M$61:$M$74</formula1>
    </dataValidation>
  </dataValidations>
  <printOptions horizontalCentered="1"/>
  <pageMargins left="0.19685039370078741" right="0.19685039370078741" top="1.1811023622047245" bottom="0.59055118110236227" header="0.19685039370078741" footer="0"/>
  <pageSetup paperSize="9" orientation="portrait" horizontalDpi="0" verticalDpi="0" r:id="rId1"/>
  <headerFooter alignWithMargins="0">
    <oddHeader>&amp;L&amp;G&amp;R&amp;"Arial Black,Normal"&amp;16Cálculos eléctricos y mecánicos
de un conductor de cobre</oddHeader>
    <oddFooter>&amp;L&amp;8&amp;F&amp;R&amp;8Página &amp;P de &amp;N</oddFooter>
  </headerFooter>
  <rowBreaks count="1" manualBreakCount="1">
    <brk id="55" max="8" man="1"/>
  </rowBreak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
  <sheetViews>
    <sheetView showGridLines="0" view="pageBreakPreview" zoomScale="115" zoomScaleNormal="100" zoomScaleSheetLayoutView="115" workbookViewId="0">
      <selection activeCell="E60" sqref="E60"/>
    </sheetView>
  </sheetViews>
  <sheetFormatPr baseColWidth="10" defaultRowHeight="12.75" x14ac:dyDescent="0.2"/>
  <cols>
    <col min="1" max="1" width="10" customWidth="1"/>
    <col min="2" max="2" width="10.28515625" customWidth="1"/>
    <col min="3" max="3" width="12.85546875" customWidth="1"/>
    <col min="4" max="4" width="11.5703125" customWidth="1"/>
    <col min="5" max="5" width="12.5703125" bestFit="1" customWidth="1"/>
    <col min="6" max="6" width="12" customWidth="1"/>
    <col min="7" max="8" width="12.7109375" customWidth="1"/>
    <col min="9" max="9" width="13.28515625" customWidth="1"/>
    <col min="10" max="10" width="13" customWidth="1"/>
  </cols>
  <sheetData/>
  <sheetProtection sheet="1" objects="1" scenarios="1" selectLockedCells="1"/>
  <printOptions horizontalCentered="1"/>
  <pageMargins left="0.19685039370078741" right="0.19685039370078741" top="1.1811023622047245" bottom="0.98425196850393704" header="0.19685039370078741" footer="0"/>
  <pageSetup paperSize="9" scale="82" fitToHeight="0" orientation="portrait" horizontalDpi="0" verticalDpi="0" r:id="rId1"/>
  <headerFooter alignWithMargins="0">
    <oddHeader>&amp;L&amp;G&amp;R&amp;"Arial Black,Normal"&amp;16Cálculos eléctricos y mecánicos
de un conductor de cobre</oddHeader>
    <oddFooter>&amp;L&amp;8&amp;F&amp;R&amp;8Página &amp;P de &amp;N</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19</vt:i4>
      </vt:variant>
    </vt:vector>
  </HeadingPairs>
  <TitlesOfParts>
    <vt:vector size="21" baseType="lpstr">
      <vt:lpstr>Cálculos conductor cobre</vt:lpstr>
      <vt:lpstr>LEEME</vt:lpstr>
      <vt:lpstr>'Cálculos conductor cobre'!Área_de_impresión</vt:lpstr>
      <vt:lpstr>LEEME!Área_de_impresión</vt:lpstr>
      <vt:lpstr>caida_tension</vt:lpstr>
      <vt:lpstr>dens_aislante</vt:lpstr>
      <vt:lpstr>dens_cobre</vt:lpstr>
      <vt:lpstr>diam_aislante</vt:lpstr>
      <vt:lpstr>diam_cobre</vt:lpstr>
      <vt:lpstr>Intensidad</vt:lpstr>
      <vt:lpstr>lista_secciones</vt:lpstr>
      <vt:lpstr>longitud</vt:lpstr>
      <vt:lpstr>peso_aislante</vt:lpstr>
      <vt:lpstr>peso_cobre</vt:lpstr>
      <vt:lpstr>potencia_entrada</vt:lpstr>
      <vt:lpstr>potencia_perdida</vt:lpstr>
      <vt:lpstr>relac_diámetros</vt:lpstr>
      <vt:lpstr>res_cobre</vt:lpstr>
      <vt:lpstr>Resistencia</vt:lpstr>
      <vt:lpstr>seccion_cobre</vt:lpstr>
      <vt:lpstr>tens_alim</vt:lpstr>
    </vt:vector>
  </TitlesOfParts>
  <Company>VueloVerde.com</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Cálculos Eléctricos y Mecánicos de un conductor de cobre.</dc:title>
  <dc:creator>Carlos Martín Pascual.</dc:creator>
  <cp:lastModifiedBy>Carlos</cp:lastModifiedBy>
  <cp:lastPrinted>2018-07-14T17:49:28Z</cp:lastPrinted>
  <dcterms:created xsi:type="dcterms:W3CDTF">2004-12-29T16:25:03Z</dcterms:created>
  <dcterms:modified xsi:type="dcterms:W3CDTF">2018-07-14T18:06:03Z</dcterms:modified>
  <cp:category>Diseño y construcción</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b3e1e069-4b7b-40e9-9d5c-e671c69c7d39</vt:lpwstr>
  </property>
</Properties>
</file>